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P:\5-JURAMENTO\JUR-0120- REFORMA DO ESTÁDIO MUNICIPAL- 130MIL- 2024\PLANILHA\"/>
    </mc:Choice>
  </mc:AlternateContent>
  <xr:revisionPtr revIDLastSave="0" documentId="13_ncr:1_{3E26D6B1-DBA0-4EE5-BA5F-CCEFCD71C95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MC" sheetId="1" r:id="rId1"/>
    <sheet name="BDI" sheetId="8" r:id="rId2"/>
    <sheet name="PLAN QTD" sheetId="3" state="hidden" r:id="rId3"/>
    <sheet name="PLANO DE APLICAÇÃO" sheetId="7" state="hidden" r:id="rId4"/>
    <sheet name="PLAN QTD PR2" sheetId="2" state="hidden" r:id="rId5"/>
    <sheet name="PLAN QTD PR3" sheetId="4" state="hidden" r:id="rId6"/>
    <sheet name="PLAN QTD PR4" sheetId="5" state="hidden" r:id="rId7"/>
    <sheet name="PLAN QTD PR5" sheetId="6" state="hidden" r:id="rId8"/>
  </sheets>
  <definedNames>
    <definedName name="_xlnm.Print_Area" localSheetId="1">BDI!$A$1:$H$70</definedName>
    <definedName name="_xlnm.Print_Area" localSheetId="0">MC!$A$1:$J$275</definedName>
    <definedName name="_xlnm.Print_Area" localSheetId="2">'PLAN QTD'!$A$1:$J$98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7" i="1" l="1"/>
  <c r="I78" i="1" s="1"/>
  <c r="F57" i="1"/>
  <c r="I57" i="1" s="1"/>
  <c r="E232" i="1"/>
  <c r="F55" i="1"/>
  <c r="I55" i="1" s="1"/>
  <c r="I56" i="1"/>
  <c r="I49" i="1"/>
  <c r="D43" i="1"/>
  <c r="D37" i="1"/>
  <c r="D259" i="1"/>
  <c r="I259" i="1" s="1"/>
  <c r="I258" i="1"/>
  <c r="I260" i="1" s="1"/>
  <c r="G218" i="1"/>
  <c r="I218" i="1" s="1"/>
  <c r="I71" i="1"/>
  <c r="I72" i="1" s="1"/>
  <c r="I65" i="1"/>
  <c r="E107" i="1"/>
  <c r="D107" i="1"/>
  <c r="D121" i="1" s="1"/>
  <c r="I121" i="1" s="1"/>
  <c r="D139" i="1"/>
  <c r="D177" i="1"/>
  <c r="D171" i="1"/>
  <c r="D165" i="1"/>
  <c r="D159" i="1"/>
  <c r="I159" i="1" s="1"/>
  <c r="I120" i="1"/>
  <c r="E106" i="1"/>
  <c r="D106" i="1"/>
  <c r="E100" i="1"/>
  <c r="F100" i="1"/>
  <c r="D100" i="1"/>
  <c r="D99" i="1"/>
  <c r="E99" i="1"/>
  <c r="I122" i="1" l="1"/>
  <c r="I107" i="1"/>
  <c r="D114" i="1" s="1"/>
  <c r="I114" i="1" s="1"/>
  <c r="I99" i="1"/>
  <c r="I100" i="1"/>
  <c r="I101" i="1" l="1"/>
  <c r="I267" i="1" l="1"/>
  <c r="I268" i="1" s="1"/>
  <c r="I177" i="1"/>
  <c r="I178" i="1" s="1"/>
  <c r="I171" i="1"/>
  <c r="I172" i="1" s="1"/>
  <c r="I165" i="1"/>
  <c r="I166" i="1" s="1"/>
  <c r="I160" i="1"/>
  <c r="I139" i="1"/>
  <c r="I140" i="1" s="1"/>
  <c r="I133" i="1"/>
  <c r="I134" i="1" s="1"/>
  <c r="I127" i="1"/>
  <c r="I128" i="1" s="1"/>
  <c r="I106" i="1"/>
  <c r="D93" i="1"/>
  <c r="I93" i="1" s="1"/>
  <c r="I17" i="1"/>
  <c r="I18" i="1" s="1"/>
  <c r="E217" i="1"/>
  <c r="I108" i="1" l="1"/>
  <c r="D113" i="1"/>
  <c r="I113" i="1" s="1"/>
  <c r="I115" i="1" s="1"/>
  <c r="D217" i="1"/>
  <c r="G217" i="1" s="1"/>
  <c r="I217" i="1" s="1"/>
  <c r="D216" i="1"/>
  <c r="G216" i="1" s="1"/>
  <c r="I216" i="1" s="1"/>
  <c r="F215" i="1"/>
  <c r="D215" i="1"/>
  <c r="F214" i="1"/>
  <c r="D214" i="1"/>
  <c r="D213" i="1"/>
  <c r="G213" i="1" s="1"/>
  <c r="D226" i="1"/>
  <c r="I31" i="1"/>
  <c r="I147" i="1"/>
  <c r="D250" i="1"/>
  <c r="I250" i="1" s="1"/>
  <c r="D244" i="1"/>
  <c r="I244" i="1" s="1"/>
  <c r="I238" i="1"/>
  <c r="D25" i="1"/>
  <c r="I25" i="1" s="1"/>
  <c r="I185" i="1"/>
  <c r="I153" i="1"/>
  <c r="I87" i="1"/>
  <c r="I88" i="1" s="1"/>
  <c r="I205" i="1"/>
  <c r="I199" i="1"/>
  <c r="I191" i="1"/>
  <c r="I58" i="1"/>
  <c r="I50" i="1"/>
  <c r="I43" i="1"/>
  <c r="I44" i="1" s="1"/>
  <c r="I37" i="1"/>
  <c r="I38" i="1" s="1"/>
  <c r="I226" i="1" l="1"/>
  <c r="I227" i="1" s="1"/>
  <c r="D232" i="1"/>
  <c r="I232" i="1" s="1"/>
  <c r="I233" i="1" s="1"/>
  <c r="I213" i="1"/>
  <c r="G214" i="1"/>
  <c r="I214" i="1" s="1"/>
  <c r="G215" i="1"/>
  <c r="I215" i="1" s="1"/>
  <c r="I32" i="1"/>
  <c r="I26" i="1"/>
  <c r="I11" i="1"/>
  <c r="I12" i="1" s="1"/>
  <c r="I251" i="1"/>
  <c r="I245" i="1"/>
  <c r="I239" i="1"/>
  <c r="P5" i="7"/>
  <c r="P6" i="7"/>
  <c r="P7" i="7"/>
  <c r="P8" i="7"/>
  <c r="P9" i="7"/>
  <c r="P4" i="7"/>
  <c r="J3" i="7"/>
  <c r="L3" i="7"/>
  <c r="N3" i="7"/>
  <c r="N9" i="7"/>
  <c r="N8" i="7"/>
  <c r="N7" i="7"/>
  <c r="N6" i="7"/>
  <c r="N4" i="7"/>
  <c r="L9" i="7"/>
  <c r="L8" i="7"/>
  <c r="L7" i="7"/>
  <c r="L6" i="7"/>
  <c r="L4" i="7"/>
  <c r="J9" i="7"/>
  <c r="J8" i="7"/>
  <c r="J7" i="7"/>
  <c r="J6" i="7"/>
  <c r="J4" i="7"/>
  <c r="H4" i="7"/>
  <c r="H6" i="7"/>
  <c r="H7" i="7"/>
  <c r="H8" i="7"/>
  <c r="H9" i="7"/>
  <c r="H3" i="7"/>
  <c r="F5" i="7"/>
  <c r="H5" i="7" s="1"/>
  <c r="F76" i="3"/>
  <c r="F81" i="3"/>
  <c r="F82" i="3"/>
  <c r="I219" i="1" l="1"/>
  <c r="G219" i="1"/>
  <c r="L5" i="7"/>
  <c r="L10" i="7" s="1"/>
  <c r="J5" i="7"/>
  <c r="N5" i="7"/>
  <c r="N10" i="7" s="1"/>
  <c r="O10" i="7" s="1"/>
  <c r="H10" i="7"/>
  <c r="J10" i="7"/>
  <c r="K10" i="7" s="1"/>
  <c r="F10" i="7"/>
  <c r="G82" i="3"/>
  <c r="I10" i="7" l="1"/>
  <c r="M10" i="7"/>
  <c r="G6" i="7"/>
  <c r="G7" i="7"/>
  <c r="G8" i="7"/>
  <c r="G3" i="7"/>
  <c r="G4" i="7"/>
  <c r="G9" i="7"/>
  <c r="G5" i="7"/>
  <c r="J81" i="3"/>
  <c r="J80" i="3"/>
  <c r="I88" i="3"/>
  <c r="I86" i="3"/>
  <c r="I81" i="3"/>
  <c r="I80" i="3"/>
  <c r="G92" i="3"/>
  <c r="G91" i="3"/>
  <c r="G90" i="3"/>
  <c r="G89" i="3"/>
  <c r="G88" i="3"/>
  <c r="G87" i="3"/>
  <c r="G86" i="3"/>
  <c r="G85" i="3"/>
  <c r="G84" i="3"/>
  <c r="G83" i="3"/>
  <c r="G81" i="3"/>
  <c r="G80" i="3"/>
  <c r="F92" i="3"/>
  <c r="F91" i="3"/>
  <c r="F90" i="3"/>
  <c r="F89" i="3"/>
  <c r="F88" i="3"/>
  <c r="F87" i="3"/>
  <c r="F86" i="3"/>
  <c r="F85" i="3"/>
  <c r="F84" i="3"/>
  <c r="F83" i="3"/>
  <c r="F80" i="3"/>
  <c r="E91" i="3"/>
  <c r="E90" i="3"/>
  <c r="E81" i="3"/>
  <c r="E80" i="3"/>
  <c r="B92" i="3"/>
  <c r="B91" i="3"/>
  <c r="B90" i="3"/>
  <c r="B89" i="3"/>
  <c r="B88" i="3"/>
  <c r="B87" i="3"/>
  <c r="B86" i="3"/>
  <c r="B85" i="3"/>
  <c r="B84" i="3"/>
  <c r="B83" i="3"/>
  <c r="B82" i="3"/>
  <c r="B81" i="3"/>
  <c r="B80" i="3"/>
  <c r="D76" i="3"/>
  <c r="D75" i="3"/>
  <c r="I92" i="3" s="1"/>
  <c r="D74" i="3"/>
  <c r="H92" i="3" s="1"/>
  <c r="D70" i="3"/>
  <c r="I91" i="3" s="1"/>
  <c r="D69" i="3"/>
  <c r="H91" i="3" s="1"/>
  <c r="D65" i="3"/>
  <c r="H90" i="3" s="1"/>
  <c r="F59" i="3"/>
  <c r="D59" i="3"/>
  <c r="D58" i="3"/>
  <c r="I89" i="3" s="1"/>
  <c r="D57" i="3"/>
  <c r="H89" i="3" s="1"/>
  <c r="D54" i="3"/>
  <c r="D52" i="3"/>
  <c r="H88" i="3" s="1"/>
  <c r="F46" i="3"/>
  <c r="D46" i="3"/>
  <c r="D45" i="3"/>
  <c r="I87" i="3" s="1"/>
  <c r="D44" i="3"/>
  <c r="H87" i="3" s="1"/>
  <c r="F38" i="3"/>
  <c r="D38" i="3"/>
  <c r="D36" i="3"/>
  <c r="H86" i="3" s="1"/>
  <c r="D33" i="3"/>
  <c r="D32" i="3"/>
  <c r="H85" i="3" s="1"/>
  <c r="D29" i="3"/>
  <c r="D28" i="3"/>
  <c r="H84" i="3" s="1"/>
  <c r="D25" i="3"/>
  <c r="E83" i="3" s="1"/>
  <c r="D24" i="3"/>
  <c r="H83" i="3" s="1"/>
  <c r="D9" i="6"/>
  <c r="D10" i="6"/>
  <c r="D5" i="6"/>
  <c r="D15" i="6"/>
  <c r="D14" i="6"/>
  <c r="D16" i="6"/>
  <c r="F16" i="6"/>
  <c r="D12" i="5"/>
  <c r="D11" i="5"/>
  <c r="D10" i="5"/>
  <c r="D7" i="5"/>
  <c r="D5" i="5"/>
  <c r="D14" i="5"/>
  <c r="D7" i="4"/>
  <c r="D6" i="4"/>
  <c r="D5" i="4"/>
  <c r="D9" i="4"/>
  <c r="D17" i="3"/>
  <c r="H82" i="3" s="1"/>
  <c r="D18" i="3"/>
  <c r="D11" i="3"/>
  <c r="H81" i="3" s="1"/>
  <c r="D5" i="3"/>
  <c r="H80" i="3" s="1"/>
  <c r="F18" i="3"/>
  <c r="D21" i="2"/>
  <c r="D19" i="2"/>
  <c r="D17" i="2"/>
  <c r="D14" i="2"/>
  <c r="D13" i="2"/>
  <c r="D10" i="2"/>
  <c r="D9" i="2"/>
  <c r="D6" i="2"/>
  <c r="D5" i="2"/>
  <c r="E89" i="3" l="1"/>
  <c r="F93" i="3"/>
  <c r="E88" i="3"/>
  <c r="J93" i="3"/>
  <c r="E92" i="3"/>
  <c r="E87" i="3"/>
  <c r="I93" i="3"/>
  <c r="H93" i="3"/>
  <c r="G93" i="3"/>
  <c r="E82" i="3"/>
  <c r="E84" i="3"/>
  <c r="E85" i="3"/>
  <c r="E86" i="3"/>
  <c r="E93" i="3" l="1"/>
  <c r="I200" i="1" l="1"/>
  <c r="I206" i="1"/>
  <c r="I66" i="1" l="1"/>
  <c r="I148" i="1" l="1"/>
  <c r="I94" i="1" l="1"/>
  <c r="I192" i="1" l="1"/>
  <c r="I186" i="1" l="1"/>
  <c r="I154" i="1" l="1"/>
</calcChain>
</file>

<file path=xl/sharedStrings.xml><?xml version="1.0" encoding="utf-8"?>
<sst xmlns="http://schemas.openxmlformats.org/spreadsheetml/2006/main" count="875" uniqueCount="249">
  <si>
    <t>MEMORIA DE CÁLCULO</t>
  </si>
  <si>
    <t>OBJETO:</t>
  </si>
  <si>
    <t>LOCAL:</t>
  </si>
  <si>
    <t>DESCRIÇÃO:</t>
  </si>
  <si>
    <t>CÓDIGO:</t>
  </si>
  <si>
    <t>DESCRIÇÃO</t>
  </si>
  <si>
    <t>Comp. (m)</t>
  </si>
  <si>
    <t>Larg. (m)</t>
  </si>
  <si>
    <t>Repet.</t>
  </si>
  <si>
    <t>Área Total (m²)</t>
  </si>
  <si>
    <t>OBS:</t>
  </si>
  <si>
    <t>TOTAL</t>
  </si>
  <si>
    <t>Compr. (m)</t>
  </si>
  <si>
    <t>Espessura (m)</t>
  </si>
  <si>
    <t>Volume Total (m³)</t>
  </si>
  <si>
    <t>MARLENE DE LOURDES SILVEIRA MOREIRA</t>
  </si>
  <si>
    <t xml:space="preserve">PREFEITA MUNICIPAL </t>
  </si>
  <si>
    <t>ENGENHEIRO CIVIL- RESPONSÁVEL TECNICO</t>
  </si>
  <si>
    <t>TRECHO/ VIA</t>
  </si>
  <si>
    <t>UNIDADE</t>
  </si>
  <si>
    <t>AV. DO CONTORNO</t>
  </si>
  <si>
    <t>ÁREA TOTAL DE TERRAPLANAGEM (COM MEIO-FIO E SARJETA)</t>
  </si>
  <si>
    <t>M2</t>
  </si>
  <si>
    <t>ÁREA TOTAL DA PISTA DE ROLAMENTO (SEM MEIO-FIO E SARJETA)</t>
  </si>
  <si>
    <t>MEIO-FIO E SARJETA (EXTRUSADO)</t>
  </si>
  <si>
    <t>M</t>
  </si>
  <si>
    <t>EXTENSÃO LINEAR DO TRECHO</t>
  </si>
  <si>
    <t>RUA NOZINHO MAIA</t>
  </si>
  <si>
    <t>RUA CICI LOPES</t>
  </si>
  <si>
    <t>RUA FRANCISCO DURÃES COUTINHO</t>
  </si>
  <si>
    <t>MEIO-FIO</t>
  </si>
  <si>
    <t>TABELA DE QUANTITATIVOS 1 (PRANCHA 1- PROJETO GEOMÉTRICO- RUAS DA SEDE)</t>
  </si>
  <si>
    <t>TABELA DE QUANTITATIVOS 2 (PRANCHA 2- PROJETO GEOMÉTRICO- RUAS DA SEDE)</t>
  </si>
  <si>
    <t>RUA MANOEL JOSÉ DOS SANTOS</t>
  </si>
  <si>
    <t>MEIO-FIO DE TRAVAMENTO</t>
  </si>
  <si>
    <t>SARJETA EXECUTADA IN-LOCO</t>
  </si>
  <si>
    <t>RUA JOSÉ DA SILVA MAIA</t>
  </si>
  <si>
    <t>TABELA DE QUANTITATIVOS 3 (PRANCHA 3- PROJETO GEOMÉTRICO- RUAS COMUNIDADE DE TIRA CHAPÉU)</t>
  </si>
  <si>
    <t>AVENIDA PRINCIPAL</t>
  </si>
  <si>
    <t>RUA LADISLAU PINHEIRO DE CARVALHO</t>
  </si>
  <si>
    <t>TRAVESSIA PRINCIPAL</t>
  </si>
  <si>
    <t>TABELA DE QUANTITATIVOS 4 (PRANCHA 4- PROJETO GEOMÉTRICO- RUAS COMUNIDADE DE SANTA CRUZ)</t>
  </si>
  <si>
    <t>TABELA DE QUANTITATIVOS 5 (PRANCHA 5- PROJETO GEOMÉTRICO- RUAS COMUNIDADE DE PAU D'ÓLEO)</t>
  </si>
  <si>
    <t>RUA F</t>
  </si>
  <si>
    <t>RUA ADELINO SOARES DUARTE</t>
  </si>
  <si>
    <t>RUA DE ACESSO A PRAÇA</t>
  </si>
  <si>
    <t>ÁREA DE IMPRIMAÇÃO TOTAL</t>
  </si>
  <si>
    <t>ASSINATURA DO RESP. TECNICO DO ORÇAMENTO</t>
  </si>
  <si>
    <t>SEDE DO MUNICÍPIO</t>
  </si>
  <si>
    <t>TABELA RESUMO DE QUANTITATIVOS</t>
  </si>
  <si>
    <t>LOCALIDADE</t>
  </si>
  <si>
    <t>COMUNIDADE DE TIRA CHAPÉU</t>
  </si>
  <si>
    <t>COMUNIDADE DE SANTA CRUZ</t>
  </si>
  <si>
    <t>COMUNIDADE DE PAU D'ÓLEO</t>
  </si>
  <si>
    <t>EXTENSÃO LINEAR</t>
  </si>
  <si>
    <t>TOTAIS</t>
  </si>
  <si>
    <t>ÁREA (PISTA DE ROLAMENTO)</t>
  </si>
  <si>
    <t>ÁREA (TERRAPLANAGEM)</t>
  </si>
  <si>
    <t>VIA N°</t>
  </si>
  <si>
    <t>MEIO-FIO (TRAVAMENTO)</t>
  </si>
  <si>
    <t>SARJETA (IN-LOCO)</t>
  </si>
  <si>
    <t xml:space="preserve">DESCRIÇÃO </t>
  </si>
  <si>
    <t>SERVIÇOS PRELIMINARES</t>
  </si>
  <si>
    <t>PINTURA DE LIGAÇÃO</t>
  </si>
  <si>
    <t>RUA JOÃO GONÇALVES SIQUEIRA (RUA B)</t>
  </si>
  <si>
    <t>ADIMINISTRAÇÃO LOCAL</t>
  </si>
  <si>
    <t>BAZE, JAZIDA E TERRAPLANAGEM</t>
  </si>
  <si>
    <t>IMPRIMAÇÃO</t>
  </si>
  <si>
    <t>MÊS 1</t>
  </si>
  <si>
    <t>MÊS 2</t>
  </si>
  <si>
    <t>MÊS 3</t>
  </si>
  <si>
    <t>MÊS 4</t>
  </si>
  <si>
    <t>PLANO DE APLICAÇÃO DE RECURSOS</t>
  </si>
  <si>
    <t>DRENAGEM SUPERFICIAL</t>
  </si>
  <si>
    <t>CAPA ASFÁLTICA</t>
  </si>
  <si>
    <t>REFORMA E EXECUÇÃO DE MELHORIAS NO ESTÁDIO MUNICIPAL DE JURAMENTO</t>
  </si>
  <si>
    <t>RUA JOSE DA SILVA MAIA, SEDE DO MUNICÍPIO</t>
  </si>
  <si>
    <t>FORNECIMENTO E INSTALAÇÃO DE PLACA DE OBRA COM CHAPA GALVANIZADA E ESTRUTURA DE MADEIRA. AF_03/2022_PS</t>
  </si>
  <si>
    <t>REMOÇÃO MANUAL DE ALAMBRADO METÁLICO, COM REAPROVEITAMENTO, INCLUSIVE AFASTAMENTO E EMPILHAMENTO, EXCLUSIVE TRANSPORTE E RETIRADA DO MATERIAL REMOVIDO NÃO REAPROVEITÁVEL</t>
  </si>
  <si>
    <t>Remoção de pilar em madeira - 0,20 x 0, 20 x 7,0 m</t>
  </si>
  <si>
    <t>*INSTALAÇÃO DE ALAMBRADO DE TELA DE AÇO GALVANIZADO EXECUTADA EM MOURÕES DE CONCRETO. TELA ATÉ 2M DE ALTURA (NÃO INCLUI A TELA DE ALAMBRADO).</t>
  </si>
  <si>
    <t>*INSTALAÇÃO DE ALAMBRADO, EM TELA DE ARAME GALVANIZADO COM TRAMA LOSANGULAR DE 2" (50,8MM) E FIO BWG12 (2,77MM), INCLUSIVE FIXAÇÃO.</t>
  </si>
  <si>
    <t>Alambrado com tela de nylon, malha 3.6 mm. (Fornecimento e Fixação da tela)</t>
  </si>
  <si>
    <t>S03492</t>
  </si>
  <si>
    <t>ED-9100</t>
  </si>
  <si>
    <t>ED-48434</t>
  </si>
  <si>
    <t>S04802</t>
  </si>
  <si>
    <t>1- SERVIÇOS PRELIMINARES</t>
  </si>
  <si>
    <t>1.1</t>
  </si>
  <si>
    <t>2 - REFORMA DO ALAMBRADO</t>
  </si>
  <si>
    <t>2.1</t>
  </si>
  <si>
    <t>2.3</t>
  </si>
  <si>
    <t>2.4</t>
  </si>
  <si>
    <t>2.5</t>
  </si>
  <si>
    <t>2.6</t>
  </si>
  <si>
    <t>2.2</t>
  </si>
  <si>
    <t>3 - REFORMA DOS PORTÕES E ESQUADRIAS</t>
  </si>
  <si>
    <t>4 - CONSTRUÇÃO DE ÁREA COBERTA</t>
  </si>
  <si>
    <t>4.1 - LIMPEZA E FUNDAÇÃO</t>
  </si>
  <si>
    <t>4.1.1</t>
  </si>
  <si>
    <t>LIMPEZA MANUAL DE VEGETAÇÃO EM TERRENO COM ENXADA. AF_03/2024</t>
  </si>
  <si>
    <t>4.1.2</t>
  </si>
  <si>
    <t>LOCAÇÃO CONVENCIONAL DE OBRA, UTILIZANDO GABARITO DE TÁBUAS CORRIDAS PONTALETADAS A CADA 2,00M - 2 UTILIZAÇÕES. AF_03/2024</t>
  </si>
  <si>
    <t>4.2 - PISO E MURETA</t>
  </si>
  <si>
    <t>4.2.1</t>
  </si>
  <si>
    <t>4.2.2</t>
  </si>
  <si>
    <t>ARGAMASSA TRAÇO 1:3 (EM VOLUME DE CIMENTO E AREIA MÉDIA ÚMIDA) PARA CONTRAPISO, PREPARO MANUAL. AF_08/2019</t>
  </si>
  <si>
    <t>EXECUÇÃO DE PASSEIO (CALÇADA) OU PISO DE CONCRETO COM CONCRETO MOLDADO IN LOCO, FEITO EM OBRA, ACABAMENTO CONVENCIONAL, NÃO ARMADO. AF_08/2022</t>
  </si>
  <si>
    <t>4.3 - ESTRUTURA E COBERTURA</t>
  </si>
  <si>
    <t>COMP-TELHA</t>
  </si>
  <si>
    <t>ED-20603</t>
  </si>
  <si>
    <t>TELHA PVC COLONIAL PLAN (FORNECIMENTO E INSTALAÇÃO DA TELHA)</t>
  </si>
  <si>
    <t>FORNECIMENTO DE ESTRUTURA METÁLICA E ENGRADAMENTO METÁLICO, EM AÇO, PARA TELHADO, EXCLUSIVE TELHA, INCLUSIVE FABRICAÇÃO, TRANSPORTE, MONTAGEM E APLICAÇÃO DE FUNDO PREPARADOR ANTICORROSIVO EM SUPERFÍCIE METÁLICA, UMA (1) DEMÃO</t>
  </si>
  <si>
    <t>4.3.1</t>
  </si>
  <si>
    <t>4.3.2</t>
  </si>
  <si>
    <t>4.4 - COMPLEMENTARES</t>
  </si>
  <si>
    <t>4.4.1</t>
  </si>
  <si>
    <t>4.4.2</t>
  </si>
  <si>
    <t>ED-17903</t>
  </si>
  <si>
    <t>ED-13344</t>
  </si>
  <si>
    <t>PONTO DE SOBREPOR PARA UM (1) INTERRUPTOR SIMPLES (10A-250V), COM PLACA 4"X2" DE UM (1) POSTO, COM ELETRODUTO DE AÇO GALVANIZADO, CLASSE LEVE, DN 20MM (3/4"), FIXADO NA ALVENARIA/TETO E CABO DE COBRE FLEXÍVEL, CLASSE 5, ISOLAMENTO TIPO LSHF/ATOX, NÃO HALOGENADO, SEÇÃO 2,5MM2 (70°C-450/750V), COM DISTÂNCIA DE ATÉ DEZ (10) METROS DO PONTO DE DERIVAÇÃO, INCLUSIVE FORNECIMENTO, INSTALAÇÃO, CONDULETE EM ALUMÍNIO, CONEXÕES, SUPORTE E FIXAÇÃO DO ELETRODUTO</t>
  </si>
  <si>
    <t>*LÂMPADA LED, BASE E27, POTÊNCIA 20W, BULBO A70, TEMPERATURA DA COR 6500K, TENSÃO 110-127V, FORNECIMENTO E INSTALAÇÃO.</t>
  </si>
  <si>
    <t>MATED-11448</t>
  </si>
  <si>
    <t>5.1</t>
  </si>
  <si>
    <t>*TINTA (TIPO: ACRÍLICA PREMIUM|APLICAÇÃO: ALVENARIA, CONCRETO, GESSO E REBOCO|ACABAMENTO: FOSCO) (APENAS FORNECIMENTO DE MATERIAL)</t>
  </si>
  <si>
    <t>ED-50409</t>
  </si>
  <si>
    <t>S09035</t>
  </si>
  <si>
    <t>MURETA DE TIJOLO COMUM ESP. = 15CM, H = 105 CM, A REVESTIR</t>
  </si>
  <si>
    <t>Gradil Nylofor 3D, malha 20x5cm, Ø 5mm 250x243 cm, pintura branca, verde e preta, Belgo ou similar, inclusive postes (secção 60x40mm e h=3,20m) e acessórios</t>
  </si>
  <si>
    <t>ED-50787</t>
  </si>
  <si>
    <t>*TUBOS AÇO GALVANIZADO D =2". INCLUSIVE FIXAÇÃO EM QUADRO DE AÇO</t>
  </si>
  <si>
    <t>A FRENTE DA OBRA</t>
  </si>
  <si>
    <t>Ambiente</t>
  </si>
  <si>
    <t>Área (m²)</t>
  </si>
  <si>
    <t>Quant.</t>
  </si>
  <si>
    <t>Comp. Total (m)</t>
  </si>
  <si>
    <t>Altura (m)</t>
  </si>
  <si>
    <t>Peso (Kg)</t>
  </si>
  <si>
    <t>Peso Total (Kg)</t>
  </si>
  <si>
    <t>Quant. Total (un)</t>
  </si>
  <si>
    <t xml:space="preserve">Quant. </t>
  </si>
  <si>
    <t>Vol. total (L)</t>
  </si>
  <si>
    <t>GABRIEL VINICIUS MARTINS</t>
  </si>
  <si>
    <t>Piso da área coberta</t>
  </si>
  <si>
    <t>De acordo com projeto arquitetônico</t>
  </si>
  <si>
    <t>61,24+109,76+61,06+109,63</t>
  </si>
  <si>
    <t>8+1,7+7,6</t>
  </si>
  <si>
    <t>ED-48436</t>
  </si>
  <si>
    <t>DEMOLIÇÃO MANUAL DE ALVENARIA DE TIJOLO CERÂMICO MACIÇO, INCLUSIVE AFASTAMENTO E EMPILHAMENTO, EXCLUSIVE TRANSPORTE E RETIRADA DO MATERIAL DEMOLIDO</t>
  </si>
  <si>
    <t>Arquibancada</t>
  </si>
  <si>
    <t>Mureta entrada</t>
  </si>
  <si>
    <t>8+8+1,7+,.7+7,6+7,6</t>
  </si>
  <si>
    <t>Vestiário</t>
  </si>
  <si>
    <t>Esquadria (m²)</t>
  </si>
  <si>
    <t>9,95+4,50+16,55+6,15+1,8+1,65+1,6+1,65+3,20+1,65</t>
  </si>
  <si>
    <t>Mureta coberta</t>
  </si>
  <si>
    <t>10+4+10+4+3,72+3,72+9,72+9,72</t>
  </si>
  <si>
    <t>1.2</t>
  </si>
  <si>
    <t>CO-27422</t>
  </si>
  <si>
    <t>PROJETO EXECUTIVO DE ARQUITETURA</t>
  </si>
  <si>
    <t>Quant. (un)</t>
  </si>
  <si>
    <t>Total</t>
  </si>
  <si>
    <t>4.1.3</t>
  </si>
  <si>
    <t>4.1.4</t>
  </si>
  <si>
    <t>4.1.5</t>
  </si>
  <si>
    <t>4.1.6</t>
  </si>
  <si>
    <t>4.1.7</t>
  </si>
  <si>
    <t>4.1.8</t>
  </si>
  <si>
    <t>4.1.9</t>
  </si>
  <si>
    <t>ESCAVAÇÃO MANUAL DE VALA COM PROFUNDIDADE MENOR OU IGUAL A 1,30 M. AF_02/2021</t>
  </si>
  <si>
    <t>ED-51093</t>
  </si>
  <si>
    <t>APILOAMENTO MANUAL EM FUNDO DE VALA COM SOQUETE, EXCLUSIVE ESCAVAÇÃO</t>
  </si>
  <si>
    <t>CONCRETO MAGRO PARA LASTRO, TRAÇO 1:4,5:4,5 (EM MASSA SECA DE CIMENTO/ AREIA MÉDIA/ BRITA 1) - PREPARO MANUAL. AF_05/2021</t>
  </si>
  <si>
    <t>FABRICAÇÃO, MONTAGEM E DESMONTAGEM DE FÔRMA PARA SAPATA, EM CHAPA DE MADEIRA COMPENSADA RESINADA, E=17 MM, 4 UTILIZAÇÕES. AF_01/2024</t>
  </si>
  <si>
    <t>ED-48295</t>
  </si>
  <si>
    <t>CORTE, DOBRA E MONTAGEM DE AÇO CA-50, DIÂMETRO (6,3MM A 12,5MM), INCLUSIVE ESPAÇADOR</t>
  </si>
  <si>
    <t>CORTE E DOBRA DE AÇO CA-60, DIÂMETRO DE 5,0 MM. AF_06/2022</t>
  </si>
  <si>
    <t>CONCRETO FCK = 25MPA, TRAÇO 1:2,3:2,7 (EM MASSA SECA DE CIMENTO/ AREIA MÉDIA/ BRITA 1) - PREPARO MECÂNICO COM BETONEIRA 600 L. AF_05/2021</t>
  </si>
  <si>
    <t>Área construída</t>
  </si>
  <si>
    <t>4+10+4+10</t>
  </si>
  <si>
    <t>Àrea coberta</t>
  </si>
  <si>
    <t>Volume (m³)</t>
  </si>
  <si>
    <t>Comp. Total  (m)</t>
  </si>
  <si>
    <t>Peso (kg)</t>
  </si>
  <si>
    <t>Conforme projeto estrutural</t>
  </si>
  <si>
    <t>4.2.3</t>
  </si>
  <si>
    <t>4.2.4</t>
  </si>
  <si>
    <t>4.2.5</t>
  </si>
  <si>
    <t>4.2.6</t>
  </si>
  <si>
    <t>ED-48231</t>
  </si>
  <si>
    <t>ALVENARIA DE VEDAÇÃO COM TIJOLO CERÂMICO FURADO, ESP. 9CM, PARA REVESTIMENTO, INCLUSIVE ARGAMASSA PARA ASSENTAMENTO</t>
  </si>
  <si>
    <t>CHAPISCO APLICADO EM ALVENARIA (SEM PRESENÇA DE VÃOS) E ESTRUTURAS DE CONCRETO DE FACHADA, COM COLHER DE PEDREIRO. ARGAMASSA TRAÇO 1:3 COM PREPARO EM BETONEIRA 400L. AF_10/2022</t>
  </si>
  <si>
    <t>ED-50759</t>
  </si>
  <si>
    <t>REBOCO COM ARGAMASSA, TRAÇO 1:7 (CIMENTO E AREIA), ESP. 20MM, APLICAÇÃO MANUAL, INCLUSIVE ARGAMASSA COM PREPARO MECANIZADO, EXCLUSIVE CHAPISCO</t>
  </si>
  <si>
    <t>APLICAÇÃO MANUAL DE FUNDO SELADOR ACRÍLICO EM PAREDES EXTERNAS DE CASAS. AF_03/2024</t>
  </si>
  <si>
    <t>Área  (m²)</t>
  </si>
  <si>
    <t>Quant.  (un)</t>
  </si>
  <si>
    <t>ED-50635</t>
  </si>
  <si>
    <t>PLACA DE ALUMÍNIO FUNDIDO, DIMENSÃO (85X50)CM, PARA INAUGURAÇÃO, INCLUSIVE FIXAÇÃO</t>
  </si>
  <si>
    <t>Compr. (+10cm p/ cada lado)</t>
  </si>
  <si>
    <t>Larg. (+10cm p/ cada lado)</t>
  </si>
  <si>
    <t>Altura (+5cm p/ lastro)</t>
  </si>
  <si>
    <t>Àrea coberta (sapata)</t>
  </si>
  <si>
    <t>Àrea coberta (baldrame)</t>
  </si>
  <si>
    <t>3,72+3,72+(2,24*8)</t>
  </si>
  <si>
    <t>Largura (m)</t>
  </si>
  <si>
    <t>Quant. Lados</t>
  </si>
  <si>
    <t>Mureta da área coberta</t>
  </si>
  <si>
    <t>10+1,76+1,76+0,96+0,96+0,5+7,5</t>
  </si>
  <si>
    <t>10+9,72+1,76+1,9+1,76+1,9+1,1+0,96+1,1+0,96+0,5+0,36+7,5+7,36+(0,14*6)</t>
  </si>
  <si>
    <t>3.1</t>
  </si>
  <si>
    <t>ED-50986</t>
  </si>
  <si>
    <t>PORTÃO EM TUBO DE AÇO GALVANIZADO COM COSTURA, DIÂMETRO DE 1.1/2" (38,1MM), ESP. 2MM, COM TELA QUADRICULADA ONDULADA, TRAMA DE 1/2" (12,70MM), FIO 12 (2,77MM), EXCLUSIVE CADEADO E PINTURA</t>
  </si>
  <si>
    <t>ENTRADA DO ESTÁDIO</t>
  </si>
  <si>
    <t>3.2</t>
  </si>
  <si>
    <t>Pilares de concreto</t>
  </si>
  <si>
    <t>Coeficiente (l/m²)</t>
  </si>
  <si>
    <t>GOLS</t>
  </si>
  <si>
    <t>ALAMBRADO SUPERIOR</t>
  </si>
  <si>
    <t>35+17,90</t>
  </si>
  <si>
    <t>FIXADA NA PAREDE DO VESTIÁRIO</t>
  </si>
  <si>
    <t>42+3+65+4+15+3</t>
  </si>
  <si>
    <t>LATERAL DO POSTO- ENTRE POSTES</t>
  </si>
  <si>
    <t>LATERAL DO POSTO- DIAGONAIS</t>
  </si>
  <si>
    <t>LADO DO VESTIÁRIO- DIAGONAIS</t>
  </si>
  <si>
    <t>TRECHOS DE BURACO NA TELA</t>
  </si>
  <si>
    <t>((14,1*3,5)/2)+((11,5*3,5)/2)</t>
  </si>
  <si>
    <t>((20,8*3,5)/2)+((20,7*3,5)/2)</t>
  </si>
  <si>
    <t>*CERCA DE MOURÃO H = 2,80 M - MOURÃO PRÉ-FABRICADO DE CONCRETO PONTA VIRADA A CADA 2,50 M + 4 FIOS DE ARAME LISO, INCLUSIVE BASE</t>
  </si>
  <si>
    <t>ED-48385</t>
  </si>
  <si>
    <t>3.3</t>
  </si>
  <si>
    <t>REFORMA E RECOMPOSIÇÃO DE ESQUADRIAS DE CONCRETO. INCLUSIVE MÃO DE OBRA E MATERIAIS. EXCLUSIVE PINTURA</t>
  </si>
  <si>
    <t>REPARO PORTAS DE ESQUADRIAS EM CONCRETO</t>
  </si>
  <si>
    <t>COMP-ESQUAD</t>
  </si>
  <si>
    <t>Fornecimento de cadeado 50mm</t>
  </si>
  <si>
    <t>S01874</t>
  </si>
  <si>
    <t>4 - MATERIAIS DE PINTURA</t>
  </si>
  <si>
    <t>4.1</t>
  </si>
  <si>
    <t>4 - PISO E GRADIL EXTERNO</t>
  </si>
  <si>
    <t>4.2</t>
  </si>
  <si>
    <t>4.3</t>
  </si>
  <si>
    <t>4.4</t>
  </si>
  <si>
    <t>4.5</t>
  </si>
  <si>
    <t>5- TRAVAMENTO DOS GOLS</t>
  </si>
  <si>
    <t>6 - SERVIÇOS COMPLEMENTARES</t>
  </si>
  <si>
    <t>6.1</t>
  </si>
  <si>
    <t>QUADRO DE COMPOSIÇÃO DO BDI</t>
  </si>
  <si>
    <t>PLANILHA ORÇAMENTÁRIA, CORNOGRAMA E DEMAIS DOCUMENTOS PARA EXECUÇÃO DA REFORMA E DE MELHORIAS NO ESTÁDIO MUNICIPAL</t>
  </si>
  <si>
    <t>RUA JOSÉ DA SILVA MAIA, NA SEDE DO MUNICÍPIO DE JURAMENTO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</si>
</sst>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#,##0.0000"/>
  </numFmts>
  <fonts count="19" x14ac:knownFonts="1">
    <font>
      <sz val="11"/>
      <color theme="1"/>
      <name val="Calibri"/>
      <family val="2"/>
      <scheme val="minor"/>
    </font>
    <font>
      <b/>
      <sz val="20"/>
      <color theme="0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rgb="FF000000"/>
      <name val="Times New Roman"/>
      <family val="1"/>
    </font>
    <font>
      <sz val="11"/>
      <color theme="1"/>
      <name val="Times New Roman"/>
      <family val="1"/>
    </font>
    <font>
      <b/>
      <sz val="11"/>
      <color theme="0"/>
      <name val="Times New Roman"/>
      <family val="1"/>
    </font>
    <font>
      <sz val="9"/>
      <name val="Times New Roman"/>
      <family val="1"/>
    </font>
    <font>
      <sz val="11"/>
      <color rgb="FFFF0000"/>
      <name val="Times New Roman"/>
      <family val="1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b/>
      <sz val="20"/>
      <color theme="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4" fontId="11" fillId="0" borderId="0" applyFont="0" applyFill="0" applyBorder="0" applyAlignment="0" applyProtection="0"/>
    <xf numFmtId="9" fontId="11" fillId="0" borderId="0" applyFont="0" applyFill="0" applyBorder="0" applyAlignment="0" applyProtection="0"/>
  </cellStyleXfs>
  <cellXfs count="242">
    <xf numFmtId="0" fontId="0" fillId="0" borderId="0" xfId="0"/>
    <xf numFmtId="0" fontId="3" fillId="0" borderId="3" xfId="0" applyFont="1" applyBorder="1"/>
    <xf numFmtId="0" fontId="3" fillId="3" borderId="2" xfId="0" applyFont="1" applyFill="1" applyBorder="1"/>
    <xf numFmtId="0" fontId="3" fillId="3" borderId="3" xfId="0" applyFont="1" applyFill="1" applyBorder="1"/>
    <xf numFmtId="0" fontId="5" fillId="5" borderId="2" xfId="0" applyFont="1" applyFill="1" applyBorder="1" applyAlignment="1">
      <alignment horizontal="left" vertical="center" wrapText="1"/>
    </xf>
    <xf numFmtId="2" fontId="3" fillId="3" borderId="1" xfId="0" applyNumberFormat="1" applyFont="1" applyFill="1" applyBorder="1" applyAlignment="1">
      <alignment horizontal="center"/>
    </xf>
    <xf numFmtId="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/>
    <xf numFmtId="4" fontId="2" fillId="6" borderId="1" xfId="0" applyNumberFormat="1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/>
    </xf>
    <xf numFmtId="2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2" fontId="3" fillId="0" borderId="11" xfId="0" applyNumberFormat="1" applyFont="1" applyBorder="1" applyAlignment="1">
      <alignment horizontal="center" vertical="center" wrapText="1"/>
    </xf>
    <xf numFmtId="2" fontId="8" fillId="0" borderId="1" xfId="0" applyNumberFormat="1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10" fillId="0" borderId="13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0" fillId="0" borderId="5" xfId="0" applyBorder="1"/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7" xfId="0" applyBorder="1"/>
    <xf numFmtId="0" fontId="0" fillId="0" borderId="7" xfId="0" applyBorder="1" applyAlignment="1">
      <alignment horizontal="center" vertical="center"/>
    </xf>
    <xf numFmtId="0" fontId="0" fillId="9" borderId="8" xfId="0" applyFill="1" applyBorder="1" applyAlignment="1">
      <alignment horizontal="center" vertical="center"/>
    </xf>
    <xf numFmtId="0" fontId="0" fillId="9" borderId="14" xfId="0" applyFill="1" applyBorder="1" applyAlignment="1">
      <alignment horizontal="center" vertical="center"/>
    </xf>
    <xf numFmtId="0" fontId="0" fillId="9" borderId="10" xfId="0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0" fillId="0" borderId="13" xfId="0" applyBorder="1" applyAlignment="1">
      <alignment horizontal="center"/>
    </xf>
    <xf numFmtId="0" fontId="0" fillId="10" borderId="0" xfId="0" applyFill="1"/>
    <xf numFmtId="2" fontId="0" fillId="10" borderId="0" xfId="0" applyNumberFormat="1" applyFill="1"/>
    <xf numFmtId="0" fontId="0" fillId="10" borderId="14" xfId="0" applyFill="1" applyBorder="1"/>
    <xf numFmtId="0" fontId="0" fillId="11" borderId="0" xfId="0" applyFill="1"/>
    <xf numFmtId="2" fontId="0" fillId="11" borderId="0" xfId="0" applyNumberFormat="1" applyFill="1"/>
    <xf numFmtId="0" fontId="0" fillId="11" borderId="14" xfId="0" applyFill="1" applyBorder="1"/>
    <xf numFmtId="2" fontId="0" fillId="9" borderId="7" xfId="0" applyNumberFormat="1" applyFill="1" applyBorder="1"/>
    <xf numFmtId="2" fontId="0" fillId="9" borderId="10" xfId="0" applyNumberFormat="1" applyFill="1" applyBorder="1"/>
    <xf numFmtId="2" fontId="3" fillId="11" borderId="1" xfId="0" applyNumberFormat="1" applyFont="1" applyFill="1" applyBorder="1" applyAlignment="1">
      <alignment horizontal="center" vertical="center" wrapText="1"/>
    </xf>
    <xf numFmtId="2" fontId="3" fillId="11" borderId="1" xfId="0" applyNumberFormat="1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/>
    </xf>
    <xf numFmtId="0" fontId="0" fillId="0" borderId="6" xfId="0" applyBorder="1"/>
    <xf numFmtId="0" fontId="0" fillId="0" borderId="10" xfId="0" applyBorder="1"/>
    <xf numFmtId="0" fontId="2" fillId="8" borderId="9" xfId="0" applyFont="1" applyFill="1" applyBorder="1" applyAlignment="1">
      <alignment horizontal="center" vertical="center" wrapText="1"/>
    </xf>
    <xf numFmtId="0" fontId="2" fillId="8" borderId="9" xfId="0" applyFont="1" applyFill="1" applyBorder="1" applyAlignment="1">
      <alignment horizontal="center" vertical="center"/>
    </xf>
    <xf numFmtId="0" fontId="2" fillId="8" borderId="4" xfId="0" applyFont="1" applyFill="1" applyBorder="1" applyAlignment="1">
      <alignment horizontal="center" vertical="center"/>
    </xf>
    <xf numFmtId="0" fontId="2" fillId="8" borderId="4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/>
    </xf>
    <xf numFmtId="0" fontId="3" fillId="8" borderId="9" xfId="0" applyFont="1" applyFill="1" applyBorder="1" applyAlignment="1">
      <alignment horizontal="center" vertical="center"/>
    </xf>
    <xf numFmtId="0" fontId="0" fillId="0" borderId="0" xfId="0" applyAlignment="1">
      <alignment horizontal="left" vertical="top"/>
    </xf>
    <xf numFmtId="0" fontId="0" fillId="0" borderId="0" xfId="0" applyAlignment="1">
      <alignment wrapText="1"/>
    </xf>
    <xf numFmtId="2" fontId="8" fillId="0" borderId="1" xfId="0" applyNumberFormat="1" applyFont="1" applyBorder="1" applyAlignment="1">
      <alignment horizontal="center" vertical="center" wrapText="1"/>
    </xf>
    <xf numFmtId="0" fontId="2" fillId="3" borderId="18" xfId="0" applyFont="1" applyFill="1" applyBorder="1" applyAlignment="1">
      <alignment vertical="center"/>
    </xf>
    <xf numFmtId="0" fontId="3" fillId="3" borderId="20" xfId="0" applyFont="1" applyFill="1" applyBorder="1"/>
    <xf numFmtId="49" fontId="2" fillId="3" borderId="18" xfId="0" applyNumberFormat="1" applyFont="1" applyFill="1" applyBorder="1" applyAlignment="1">
      <alignment vertical="center"/>
    </xf>
    <xf numFmtId="44" fontId="3" fillId="3" borderId="20" xfId="1" applyFont="1" applyFill="1" applyBorder="1"/>
    <xf numFmtId="0" fontId="2" fillId="5" borderId="18" xfId="0" applyFont="1" applyFill="1" applyBorder="1"/>
    <xf numFmtId="0" fontId="2" fillId="8" borderId="19" xfId="0" applyFont="1" applyFill="1" applyBorder="1" applyAlignment="1">
      <alignment horizontal="center" vertical="center"/>
    </xf>
    <xf numFmtId="0" fontId="2" fillId="8" borderId="27" xfId="0" applyFont="1" applyFill="1" applyBorder="1" applyAlignment="1">
      <alignment horizontal="center" vertical="center"/>
    </xf>
    <xf numFmtId="0" fontId="2" fillId="0" borderId="29" xfId="0" applyFont="1" applyBorder="1" applyAlignment="1">
      <alignment vertical="center"/>
    </xf>
    <xf numFmtId="0" fontId="3" fillId="0" borderId="26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2" xfId="0" applyFont="1" applyBorder="1"/>
    <xf numFmtId="0" fontId="2" fillId="0" borderId="0" xfId="0" applyFont="1"/>
    <xf numFmtId="0" fontId="3" fillId="0" borderId="23" xfId="0" applyFont="1" applyBorder="1"/>
    <xf numFmtId="0" fontId="3" fillId="0" borderId="31" xfId="0" applyFont="1" applyBorder="1"/>
    <xf numFmtId="0" fontId="3" fillId="0" borderId="32" xfId="0" applyFont="1" applyBorder="1"/>
    <xf numFmtId="0" fontId="3" fillId="0" borderId="33" xfId="0" applyFont="1" applyBorder="1"/>
    <xf numFmtId="44" fontId="0" fillId="0" borderId="0" xfId="1" applyFont="1"/>
    <xf numFmtId="10" fontId="0" fillId="0" borderId="0" xfId="2" applyNumberFormat="1" applyFont="1"/>
    <xf numFmtId="10" fontId="0" fillId="0" borderId="0" xfId="2" applyNumberFormat="1" applyFont="1" applyAlignment="1">
      <alignment horizontal="center"/>
    </xf>
    <xf numFmtId="10" fontId="0" fillId="0" borderId="0" xfId="2" applyNumberFormat="1" applyFont="1" applyAlignment="1">
      <alignment horizontal="center" vertical="center"/>
    </xf>
    <xf numFmtId="10" fontId="0" fillId="0" borderId="0" xfId="0" applyNumberFormat="1"/>
    <xf numFmtId="44" fontId="0" fillId="0" borderId="0" xfId="1" applyFont="1" applyAlignment="1">
      <alignment horizontal="center" vertical="center"/>
    </xf>
    <xf numFmtId="44" fontId="0" fillId="0" borderId="0" xfId="0" applyNumberFormat="1"/>
    <xf numFmtId="0" fontId="4" fillId="0" borderId="2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2" fillId="0" borderId="27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0" fontId="2" fillId="0" borderId="12" xfId="0" applyFont="1" applyBorder="1" applyAlignment="1">
      <alignment horizontal="right"/>
    </xf>
    <xf numFmtId="0" fontId="2" fillId="0" borderId="29" xfId="0" applyFont="1" applyBorder="1" applyAlignment="1">
      <alignment horizontal="center" vertical="center"/>
    </xf>
    <xf numFmtId="0" fontId="4" fillId="0" borderId="5" xfId="0" applyFont="1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2" fillId="5" borderId="21" xfId="0" applyFont="1" applyFill="1" applyBorder="1"/>
    <xf numFmtId="0" fontId="2" fillId="5" borderId="1" xfId="0" applyFont="1" applyFill="1" applyBorder="1" applyAlignment="1">
      <alignment horizontal="left"/>
    </xf>
    <xf numFmtId="2" fontId="2" fillId="0" borderId="3" xfId="0" applyNumberFormat="1" applyFont="1" applyBorder="1" applyAlignment="1">
      <alignment horizontal="right" vertical="center"/>
    </xf>
    <xf numFmtId="0" fontId="2" fillId="0" borderId="9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2" fillId="0" borderId="12" xfId="0" applyFont="1" applyBorder="1"/>
    <xf numFmtId="0" fontId="2" fillId="0" borderId="1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4" fontId="5" fillId="0" borderId="1" xfId="0" applyNumberFormat="1" applyFont="1" applyBorder="1" applyAlignment="1">
      <alignment horizontal="center" vertical="center"/>
    </xf>
    <xf numFmtId="0" fontId="2" fillId="5" borderId="1" xfId="0" applyFont="1" applyFill="1" applyBorder="1" applyAlignment="1">
      <alignment vertical="center"/>
    </xf>
    <xf numFmtId="0" fontId="2" fillId="0" borderId="28" xfId="0" applyFont="1" applyBorder="1" applyAlignment="1">
      <alignment horizontal="center" vertical="center"/>
    </xf>
    <xf numFmtId="0" fontId="16" fillId="3" borderId="1" xfId="0" applyFont="1" applyFill="1" applyBorder="1" applyAlignment="1">
      <alignment vertical="center"/>
    </xf>
    <xf numFmtId="0" fontId="17" fillId="3" borderId="2" xfId="0" applyFont="1" applyFill="1" applyBorder="1"/>
    <xf numFmtId="0" fontId="17" fillId="3" borderId="3" xfId="0" applyFont="1" applyFill="1" applyBorder="1"/>
    <xf numFmtId="0" fontId="17" fillId="3" borderId="12" xfId="0" applyFont="1" applyFill="1" applyBorder="1"/>
    <xf numFmtId="49" fontId="16" fillId="3" borderId="1" xfId="0" applyNumberFormat="1" applyFont="1" applyFill="1" applyBorder="1" applyAlignment="1">
      <alignment vertical="center"/>
    </xf>
    <xf numFmtId="0" fontId="6" fillId="7" borderId="22" xfId="0" applyFont="1" applyFill="1" applyBorder="1" applyAlignment="1">
      <alignment horizontal="left"/>
    </xf>
    <xf numFmtId="0" fontId="6" fillId="7" borderId="0" xfId="0" applyFont="1" applyFill="1" applyAlignment="1">
      <alignment horizontal="left"/>
    </xf>
    <xf numFmtId="0" fontId="6" fillId="7" borderId="23" xfId="0" applyFont="1" applyFill="1" applyBorder="1" applyAlignment="1">
      <alignment horizontal="left"/>
    </xf>
    <xf numFmtId="0" fontId="3" fillId="0" borderId="21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5" borderId="4" xfId="0" applyFont="1" applyFill="1" applyBorder="1" applyAlignment="1">
      <alignment horizontal="left" vertical="justify" wrapText="1"/>
    </xf>
    <xf numFmtId="0" fontId="3" fillId="5" borderId="5" xfId="0" applyFont="1" applyFill="1" applyBorder="1" applyAlignment="1">
      <alignment horizontal="left" vertical="justify" wrapText="1"/>
    </xf>
    <xf numFmtId="0" fontId="3" fillId="5" borderId="24" xfId="0" applyFont="1" applyFill="1" applyBorder="1" applyAlignment="1">
      <alignment horizontal="left" vertical="justify" wrapText="1"/>
    </xf>
    <xf numFmtId="0" fontId="3" fillId="5" borderId="6" xfId="0" applyFont="1" applyFill="1" applyBorder="1" applyAlignment="1">
      <alignment horizontal="left" vertical="justify" wrapText="1"/>
    </xf>
    <xf numFmtId="0" fontId="3" fillId="5" borderId="7" xfId="0" applyFont="1" applyFill="1" applyBorder="1" applyAlignment="1">
      <alignment horizontal="left" vertical="justify" wrapText="1"/>
    </xf>
    <xf numFmtId="0" fontId="3" fillId="5" borderId="25" xfId="0" applyFont="1" applyFill="1" applyBorder="1" applyAlignment="1">
      <alignment horizontal="left" vertical="justify" wrapText="1"/>
    </xf>
    <xf numFmtId="0" fontId="2" fillId="8" borderId="21" xfId="0" applyFont="1" applyFill="1" applyBorder="1" applyAlignment="1">
      <alignment horizontal="center" vertical="center"/>
    </xf>
    <xf numFmtId="0" fontId="2" fillId="8" borderId="12" xfId="0" applyFont="1" applyFill="1" applyBorder="1" applyAlignment="1">
      <alignment horizontal="center" vertical="center"/>
    </xf>
    <xf numFmtId="0" fontId="3" fillId="11" borderId="21" xfId="0" applyFont="1" applyFill="1" applyBorder="1" applyAlignment="1">
      <alignment horizontal="left" vertical="top" wrapText="1"/>
    </xf>
    <xf numFmtId="0" fontId="3" fillId="11" borderId="12" xfId="0" applyFont="1" applyFill="1" applyBorder="1" applyAlignment="1">
      <alignment horizontal="left" vertical="top" wrapText="1"/>
    </xf>
    <xf numFmtId="0" fontId="2" fillId="0" borderId="27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21" xfId="0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0" fontId="2" fillId="0" borderId="12" xfId="0" applyFont="1" applyBorder="1" applyAlignment="1">
      <alignment horizontal="right"/>
    </xf>
    <xf numFmtId="0" fontId="3" fillId="0" borderId="21" xfId="0" applyFont="1" applyBorder="1" applyAlignment="1">
      <alignment vertical="center" wrapText="1"/>
    </xf>
    <xf numFmtId="0" fontId="3" fillId="0" borderId="12" xfId="0" applyFont="1" applyBorder="1" applyAlignment="1">
      <alignment vertical="center" wrapText="1"/>
    </xf>
    <xf numFmtId="0" fontId="4" fillId="0" borderId="2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3" fillId="5" borderId="4" xfId="0" quotePrefix="1" applyFont="1" applyFill="1" applyBorder="1" applyAlignment="1">
      <alignment horizontal="left" vertical="justify" wrapText="1"/>
    </xf>
    <xf numFmtId="0" fontId="3" fillId="5" borderId="5" xfId="0" quotePrefix="1" applyFont="1" applyFill="1" applyBorder="1" applyAlignment="1">
      <alignment horizontal="left" vertical="justify" wrapText="1"/>
    </xf>
    <xf numFmtId="0" fontId="3" fillId="5" borderId="24" xfId="0" quotePrefix="1" applyFont="1" applyFill="1" applyBorder="1" applyAlignment="1">
      <alignment horizontal="left" vertical="justify" wrapText="1"/>
    </xf>
    <xf numFmtId="0" fontId="3" fillId="5" borderId="6" xfId="0" quotePrefix="1" applyFont="1" applyFill="1" applyBorder="1" applyAlignment="1">
      <alignment horizontal="left" vertical="justify" wrapText="1"/>
    </xf>
    <xf numFmtId="0" fontId="3" fillId="5" borderId="7" xfId="0" quotePrefix="1" applyFont="1" applyFill="1" applyBorder="1" applyAlignment="1">
      <alignment horizontal="left" vertical="justify" wrapText="1"/>
    </xf>
    <xf numFmtId="0" fontId="3" fillId="5" borderId="25" xfId="0" quotePrefix="1" applyFont="1" applyFill="1" applyBorder="1" applyAlignment="1">
      <alignment horizontal="left" vertical="justify" wrapText="1"/>
    </xf>
    <xf numFmtId="0" fontId="3" fillId="0" borderId="30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7" fillId="0" borderId="28" xfId="0" applyFont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7" fillId="0" borderId="27" xfId="0" applyFont="1" applyBorder="1" applyAlignment="1">
      <alignment horizontal="center" vertical="center" wrapText="1"/>
    </xf>
    <xf numFmtId="0" fontId="2" fillId="8" borderId="26" xfId="0" applyFont="1" applyFill="1" applyBorder="1" applyAlignment="1">
      <alignment horizontal="center" vertical="center"/>
    </xf>
    <xf numFmtId="0" fontId="2" fillId="8" borderId="8" xfId="0" applyFont="1" applyFill="1" applyBorder="1" applyAlignment="1">
      <alignment horizontal="center" vertical="center"/>
    </xf>
    <xf numFmtId="0" fontId="3" fillId="0" borderId="3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11" borderId="21" xfId="0" applyFont="1" applyFill="1" applyBorder="1" applyAlignment="1">
      <alignment vertical="center" wrapText="1"/>
    </xf>
    <xf numFmtId="0" fontId="3" fillId="11" borderId="12" xfId="0" applyFont="1" applyFill="1" applyBorder="1" applyAlignment="1">
      <alignment vertical="center" wrapText="1"/>
    </xf>
    <xf numFmtId="0" fontId="4" fillId="4" borderId="18" xfId="0" applyFont="1" applyFill="1" applyBorder="1" applyAlignment="1">
      <alignment horizontal="left"/>
    </xf>
    <xf numFmtId="0" fontId="4" fillId="4" borderId="1" xfId="0" applyFont="1" applyFill="1" applyBorder="1" applyAlignment="1">
      <alignment horizontal="left"/>
    </xf>
    <xf numFmtId="0" fontId="4" fillId="4" borderId="19" xfId="0" applyFont="1" applyFill="1" applyBorder="1" applyAlignment="1">
      <alignment horizontal="left"/>
    </xf>
    <xf numFmtId="0" fontId="3" fillId="5" borderId="4" xfId="0" applyFont="1" applyFill="1" applyBorder="1" applyAlignment="1">
      <alignment horizontal="left" vertical="center" wrapText="1"/>
    </xf>
    <xf numFmtId="0" fontId="3" fillId="5" borderId="5" xfId="0" applyFont="1" applyFill="1" applyBorder="1" applyAlignment="1">
      <alignment horizontal="left" vertical="center" wrapText="1"/>
    </xf>
    <xf numFmtId="0" fontId="3" fillId="5" borderId="24" xfId="0" applyFont="1" applyFill="1" applyBorder="1" applyAlignment="1">
      <alignment horizontal="left" vertical="center" wrapText="1"/>
    </xf>
    <xf numFmtId="0" fontId="3" fillId="5" borderId="6" xfId="0" applyFont="1" applyFill="1" applyBorder="1" applyAlignment="1">
      <alignment horizontal="left" vertical="center" wrapText="1"/>
    </xf>
    <xf numFmtId="0" fontId="3" fillId="5" borderId="7" xfId="0" applyFont="1" applyFill="1" applyBorder="1" applyAlignment="1">
      <alignment horizontal="left" vertical="center" wrapText="1"/>
    </xf>
    <xf numFmtId="0" fontId="3" fillId="5" borderId="25" xfId="0" applyFont="1" applyFill="1" applyBorder="1" applyAlignment="1">
      <alignment horizontal="left" vertical="center" wrapText="1"/>
    </xf>
    <xf numFmtId="0" fontId="3" fillId="0" borderId="2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3" fillId="5" borderId="4" xfId="0" quotePrefix="1" applyFont="1" applyFill="1" applyBorder="1" applyAlignment="1">
      <alignment horizontal="left" vertical="center" wrapText="1"/>
    </xf>
    <xf numFmtId="0" fontId="3" fillId="5" borderId="5" xfId="0" quotePrefix="1" applyFont="1" applyFill="1" applyBorder="1" applyAlignment="1">
      <alignment horizontal="left" vertical="center" wrapText="1"/>
    </xf>
    <xf numFmtId="0" fontId="3" fillId="5" borderId="24" xfId="0" quotePrefix="1" applyFont="1" applyFill="1" applyBorder="1" applyAlignment="1">
      <alignment horizontal="left" vertical="center" wrapText="1"/>
    </xf>
    <xf numFmtId="0" fontId="3" fillId="5" borderId="6" xfId="0" quotePrefix="1" applyFont="1" applyFill="1" applyBorder="1" applyAlignment="1">
      <alignment horizontal="left" vertical="center" wrapText="1"/>
    </xf>
    <xf numFmtId="0" fontId="3" fillId="5" borderId="7" xfId="0" quotePrefix="1" applyFont="1" applyFill="1" applyBorder="1" applyAlignment="1">
      <alignment horizontal="left" vertical="center" wrapText="1"/>
    </xf>
    <xf numFmtId="0" fontId="3" fillId="5" borderId="25" xfId="0" quotePrefix="1" applyFont="1" applyFill="1" applyBorder="1" applyAlignment="1">
      <alignment horizontal="left" vertical="center" wrapText="1"/>
    </xf>
    <xf numFmtId="49" fontId="3" fillId="0" borderId="21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49" fontId="3" fillId="0" borderId="20" xfId="0" applyNumberFormat="1" applyFont="1" applyBorder="1" applyAlignment="1">
      <alignment horizontal="center" vertical="center"/>
    </xf>
    <xf numFmtId="0" fontId="2" fillId="0" borderId="30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2" fillId="8" borderId="4" xfId="0" applyFont="1" applyFill="1" applyBorder="1" applyAlignment="1">
      <alignment horizontal="center" vertical="center" wrapText="1"/>
    </xf>
    <xf numFmtId="0" fontId="2" fillId="8" borderId="8" xfId="0" applyFont="1" applyFill="1" applyBorder="1" applyAlignment="1">
      <alignment horizontal="center" vertical="center" wrapText="1"/>
    </xf>
    <xf numFmtId="2" fontId="3" fillId="11" borderId="2" xfId="0" applyNumberFormat="1" applyFont="1" applyFill="1" applyBorder="1" applyAlignment="1">
      <alignment horizontal="center" vertical="center"/>
    </xf>
    <xf numFmtId="2" fontId="3" fillId="11" borderId="12" xfId="0" applyNumberFormat="1" applyFont="1" applyFill="1" applyBorder="1" applyAlignment="1">
      <alignment horizontal="center" vertical="center"/>
    </xf>
    <xf numFmtId="0" fontId="4" fillId="0" borderId="30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3" fillId="0" borderId="18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1" fillId="2" borderId="15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left"/>
    </xf>
    <xf numFmtId="0" fontId="3" fillId="3" borderId="3" xfId="0" applyFont="1" applyFill="1" applyBorder="1" applyAlignment="1">
      <alignment horizontal="left"/>
    </xf>
    <xf numFmtId="49" fontId="2" fillId="0" borderId="21" xfId="0" applyNumberFormat="1" applyFont="1" applyBorder="1" applyAlignment="1">
      <alignment horizontal="left" vertical="center"/>
    </xf>
    <xf numFmtId="49" fontId="2" fillId="0" borderId="3" xfId="0" applyNumberFormat="1" applyFont="1" applyBorder="1" applyAlignment="1">
      <alignment horizontal="left" vertical="center"/>
    </xf>
    <xf numFmtId="49" fontId="2" fillId="0" borderId="20" xfId="0" applyNumberFormat="1" applyFont="1" applyBorder="1" applyAlignment="1">
      <alignment horizontal="left" vertical="center"/>
    </xf>
    <xf numFmtId="0" fontId="2" fillId="3" borderId="3" xfId="0" applyFont="1" applyFill="1" applyBorder="1" applyAlignment="1">
      <alignment horizontal="right" vertical="center"/>
    </xf>
    <xf numFmtId="2" fontId="3" fillId="3" borderId="18" xfId="0" applyNumberFormat="1" applyFont="1" applyFill="1" applyBorder="1" applyAlignment="1">
      <alignment horizontal="left"/>
    </xf>
    <xf numFmtId="2" fontId="3" fillId="3" borderId="1" xfId="0" applyNumberFormat="1" applyFont="1" applyFill="1" applyBorder="1" applyAlignment="1">
      <alignment horizontal="left"/>
    </xf>
    <xf numFmtId="4" fontId="3" fillId="0" borderId="19" xfId="0" applyNumberFormat="1" applyFont="1" applyBorder="1" applyAlignment="1">
      <alignment horizontal="center" vertical="center"/>
    </xf>
    <xf numFmtId="0" fontId="3" fillId="5" borderId="4" xfId="0" applyFont="1" applyFill="1" applyBorder="1" applyAlignment="1">
      <alignment horizontal="left" vertical="top" wrapText="1"/>
    </xf>
    <xf numFmtId="0" fontId="3" fillId="5" borderId="5" xfId="0" applyFont="1" applyFill="1" applyBorder="1" applyAlignment="1">
      <alignment horizontal="left" vertical="top" wrapText="1"/>
    </xf>
    <xf numFmtId="0" fontId="3" fillId="5" borderId="24" xfId="0" applyFont="1" applyFill="1" applyBorder="1" applyAlignment="1">
      <alignment horizontal="left" vertical="top" wrapText="1"/>
    </xf>
    <xf numFmtId="0" fontId="3" fillId="5" borderId="6" xfId="0" applyFont="1" applyFill="1" applyBorder="1" applyAlignment="1">
      <alignment horizontal="left" vertical="top" wrapText="1"/>
    </xf>
    <xf numFmtId="0" fontId="3" fillId="5" borderId="7" xfId="0" applyFont="1" applyFill="1" applyBorder="1" applyAlignment="1">
      <alignment horizontal="left" vertical="top" wrapText="1"/>
    </xf>
    <xf numFmtId="0" fontId="3" fillId="5" borderId="25" xfId="0" applyFont="1" applyFill="1" applyBorder="1" applyAlignment="1">
      <alignment horizontal="left" vertical="top" wrapText="1"/>
    </xf>
    <xf numFmtId="0" fontId="3" fillId="0" borderId="18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5" borderId="4" xfId="0" applyFont="1" applyFill="1" applyBorder="1" applyAlignment="1">
      <alignment horizontal="left" vertical="center"/>
    </xf>
    <xf numFmtId="0" fontId="3" fillId="5" borderId="5" xfId="0" applyFont="1" applyFill="1" applyBorder="1" applyAlignment="1">
      <alignment horizontal="left" vertical="center"/>
    </xf>
    <xf numFmtId="0" fontId="3" fillId="5" borderId="24" xfId="0" applyFont="1" applyFill="1" applyBorder="1" applyAlignment="1">
      <alignment horizontal="left" vertical="center"/>
    </xf>
    <xf numFmtId="0" fontId="3" fillId="5" borderId="6" xfId="0" applyFont="1" applyFill="1" applyBorder="1" applyAlignment="1">
      <alignment horizontal="left" vertical="center"/>
    </xf>
    <xf numFmtId="0" fontId="3" fillId="5" borderId="7" xfId="0" applyFont="1" applyFill="1" applyBorder="1" applyAlignment="1">
      <alignment horizontal="left" vertical="center"/>
    </xf>
    <xf numFmtId="0" fontId="3" fillId="5" borderId="25" xfId="0" applyFont="1" applyFill="1" applyBorder="1" applyAlignment="1">
      <alignment horizontal="left" vertical="center"/>
    </xf>
    <xf numFmtId="0" fontId="18" fillId="2" borderId="4" xfId="0" applyFont="1" applyFill="1" applyBorder="1" applyAlignment="1">
      <alignment horizontal="center" vertical="center"/>
    </xf>
    <xf numFmtId="0" fontId="18" fillId="2" borderId="5" xfId="0" applyFont="1" applyFill="1" applyBorder="1" applyAlignment="1">
      <alignment horizontal="center" vertical="center"/>
    </xf>
    <xf numFmtId="0" fontId="18" fillId="2" borderId="8" xfId="0" applyFont="1" applyFill="1" applyBorder="1" applyAlignment="1">
      <alignment horizontal="center" vertical="center"/>
    </xf>
    <xf numFmtId="0" fontId="9" fillId="7" borderId="4" xfId="0" applyFont="1" applyFill="1" applyBorder="1" applyAlignment="1">
      <alignment horizontal="center" vertical="center"/>
    </xf>
    <xf numFmtId="0" fontId="9" fillId="7" borderId="5" xfId="0" applyFont="1" applyFill="1" applyBorder="1" applyAlignment="1">
      <alignment horizontal="center" vertical="center"/>
    </xf>
    <xf numFmtId="0" fontId="9" fillId="7" borderId="8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11" borderId="0" xfId="0" applyFill="1" applyAlignment="1">
      <alignment horizontal="center"/>
    </xf>
    <xf numFmtId="0" fontId="10" fillId="0" borderId="6" xfId="0" applyFont="1" applyBorder="1" applyAlignment="1">
      <alignment horizontal="right"/>
    </xf>
    <xf numFmtId="0" fontId="10" fillId="0" borderId="7" xfId="0" applyFont="1" applyBorder="1" applyAlignment="1">
      <alignment horizontal="right"/>
    </xf>
    <xf numFmtId="0" fontId="0" fillId="10" borderId="0" xfId="0" applyFill="1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5" fillId="7" borderId="13" xfId="0" applyFont="1" applyFill="1" applyBorder="1" applyAlignment="1">
      <alignment horizontal="center" vertical="center"/>
    </xf>
    <xf numFmtId="0" fontId="15" fillId="7" borderId="0" xfId="0" applyFont="1" applyFill="1" applyAlignment="1">
      <alignment horizontal="center" vertical="center"/>
    </xf>
  </cellXfs>
  <cellStyles count="3">
    <cellStyle name="Moeda" xfId="1" builtinId="4"/>
    <cellStyle name="Normal" xfId="0" builtinId="0"/>
    <cellStyle name="Porcentagem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228039</xdr:colOff>
      <xdr:row>4</xdr:row>
      <xdr:rowOff>127186</xdr:rowOff>
    </xdr:from>
    <xdr:to>
      <xdr:col>7</xdr:col>
      <xdr:colOff>694763</xdr:colOff>
      <xdr:row>42</xdr:row>
      <xdr:rowOff>79641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EBC5EF16-EA0B-4F82-AF40-DE89069C08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8039" y="1303804"/>
          <a:ext cx="9745195" cy="7191455"/>
        </a:xfrm>
        <a:prstGeom prst="rect">
          <a:avLst/>
        </a:prstGeom>
      </xdr:spPr>
    </xdr:pic>
    <xdr:clientData/>
  </xdr:twoCellAnchor>
  <xdr:twoCellAnchor editAs="oneCell">
    <xdr:from>
      <xdr:col>0</xdr:col>
      <xdr:colOff>256428</xdr:colOff>
      <xdr:row>41</xdr:row>
      <xdr:rowOff>172011</xdr:rowOff>
    </xdr:from>
    <xdr:to>
      <xdr:col>7</xdr:col>
      <xdr:colOff>717176</xdr:colOff>
      <xdr:row>60</xdr:row>
      <xdr:rowOff>56029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7B13F00-8A61-47C7-8197-52BA37D0DD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56428" y="8397129"/>
          <a:ext cx="9739219" cy="3918135"/>
        </a:xfrm>
        <a:prstGeom prst="rect">
          <a:avLst/>
        </a:prstGeom>
      </xdr:spPr>
    </xdr:pic>
    <xdr:clientData/>
  </xdr:twoCellAnchor>
  <xdr:twoCellAnchor editAs="oneCell">
    <xdr:from>
      <xdr:col>0</xdr:col>
      <xdr:colOff>725021</xdr:colOff>
      <xdr:row>61</xdr:row>
      <xdr:rowOff>21851</xdr:rowOff>
    </xdr:from>
    <xdr:to>
      <xdr:col>7</xdr:col>
      <xdr:colOff>145214</xdr:colOff>
      <xdr:row>69</xdr:row>
      <xdr:rowOff>107801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A4272EEF-B344-449E-8D07-A6C6CA539D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25021" y="16628969"/>
          <a:ext cx="8698664" cy="1609950"/>
        </a:xfrm>
        <a:prstGeom prst="rect">
          <a:avLst/>
        </a:prstGeom>
      </xdr:spPr>
    </xdr:pic>
    <xdr:clientData/>
  </xdr:twoCellAnchor>
  <xdr:twoCellAnchor editAs="oneCell">
    <xdr:from>
      <xdr:col>9</xdr:col>
      <xdr:colOff>179855</xdr:colOff>
      <xdr:row>8</xdr:row>
      <xdr:rowOff>25213</xdr:rowOff>
    </xdr:from>
    <xdr:to>
      <xdr:col>23</xdr:col>
      <xdr:colOff>473179</xdr:colOff>
      <xdr:row>33</xdr:row>
      <xdr:rowOff>159246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D8460D34-CF61-4B49-9AE6-71952C5B51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0847855" y="1961963"/>
          <a:ext cx="8738824" cy="48965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275"/>
  <sheetViews>
    <sheetView tabSelected="1" view="pageBreakPreview" zoomScaleNormal="100" zoomScaleSheetLayoutView="100" workbookViewId="0">
      <selection activeCell="N11" sqref="N11"/>
    </sheetView>
  </sheetViews>
  <sheetFormatPr defaultRowHeight="15" x14ac:dyDescent="0.25"/>
  <cols>
    <col min="1" max="2" width="18.85546875" customWidth="1"/>
    <col min="3" max="3" width="37.140625" customWidth="1"/>
    <col min="4" max="5" width="14.42578125" customWidth="1"/>
    <col min="6" max="6" width="15.85546875" customWidth="1"/>
    <col min="7" max="7" width="21" customWidth="1"/>
    <col min="8" max="8" width="17" customWidth="1"/>
    <col min="9" max="9" width="14.42578125" customWidth="1"/>
    <col min="10" max="10" width="17.5703125" customWidth="1"/>
    <col min="11" max="11" width="14.7109375" customWidth="1"/>
    <col min="17" max="17" width="35.28515625" customWidth="1"/>
    <col min="18" max="18" width="62.140625" customWidth="1"/>
  </cols>
  <sheetData>
    <row r="1" spans="1:22" ht="21.75" customHeight="1" x14ac:dyDescent="0.25">
      <c r="A1" s="191" t="s">
        <v>0</v>
      </c>
      <c r="B1" s="192"/>
      <c r="C1" s="192"/>
      <c r="D1" s="192"/>
      <c r="E1" s="192"/>
      <c r="F1" s="192"/>
      <c r="G1" s="192"/>
      <c r="H1" s="192"/>
      <c r="I1" s="192"/>
      <c r="J1" s="193"/>
    </row>
    <row r="2" spans="1:22" ht="21.75" customHeight="1" x14ac:dyDescent="0.25">
      <c r="A2" s="194"/>
      <c r="B2" s="195"/>
      <c r="C2" s="195"/>
      <c r="D2" s="195"/>
      <c r="E2" s="195"/>
      <c r="F2" s="195"/>
      <c r="G2" s="195"/>
      <c r="H2" s="195"/>
      <c r="I2" s="195"/>
      <c r="J2" s="196"/>
    </row>
    <row r="3" spans="1:22" x14ac:dyDescent="0.25">
      <c r="A3" s="59" t="s">
        <v>1</v>
      </c>
      <c r="B3" s="197" t="s">
        <v>75</v>
      </c>
      <c r="C3" s="198"/>
      <c r="D3" s="198"/>
      <c r="E3" s="198"/>
      <c r="F3" s="198"/>
      <c r="G3" s="198"/>
      <c r="H3" s="198"/>
      <c r="I3" s="1"/>
      <c r="J3" s="60"/>
    </row>
    <row r="4" spans="1:22" x14ac:dyDescent="0.25">
      <c r="A4" s="61" t="s">
        <v>2</v>
      </c>
      <c r="B4" s="2" t="s">
        <v>76</v>
      </c>
      <c r="C4" s="3"/>
      <c r="D4" s="3"/>
      <c r="E4" s="3"/>
      <c r="F4" s="202"/>
      <c r="G4" s="202"/>
      <c r="H4" s="202"/>
      <c r="I4" s="202"/>
      <c r="J4" s="62"/>
    </row>
    <row r="5" spans="1:22" x14ac:dyDescent="0.25">
      <c r="A5" s="199"/>
      <c r="B5" s="200"/>
      <c r="C5" s="200"/>
      <c r="D5" s="200"/>
      <c r="E5" s="200"/>
      <c r="F5" s="200"/>
      <c r="G5" s="200"/>
      <c r="H5" s="200"/>
      <c r="I5" s="200"/>
      <c r="J5" s="201"/>
    </row>
    <row r="6" spans="1:22" x14ac:dyDescent="0.25">
      <c r="A6" s="112" t="s">
        <v>87</v>
      </c>
      <c r="B6" s="113"/>
      <c r="C6" s="113"/>
      <c r="D6" s="113"/>
      <c r="E6" s="113"/>
      <c r="F6" s="113"/>
      <c r="G6" s="113"/>
      <c r="H6" s="113"/>
      <c r="I6" s="113"/>
      <c r="J6" s="114"/>
    </row>
    <row r="7" spans="1:22" x14ac:dyDescent="0.25">
      <c r="A7" s="135"/>
      <c r="B7" s="136"/>
      <c r="C7" s="136"/>
      <c r="D7" s="136"/>
      <c r="E7" s="136"/>
      <c r="F7" s="136"/>
      <c r="G7" s="136"/>
      <c r="H7" s="136"/>
      <c r="I7" s="136"/>
      <c r="J7" s="137"/>
    </row>
    <row r="8" spans="1:22" x14ac:dyDescent="0.25">
      <c r="A8" s="94" t="s">
        <v>3</v>
      </c>
      <c r="B8" s="95" t="s">
        <v>88</v>
      </c>
      <c r="C8" s="161" t="s">
        <v>77</v>
      </c>
      <c r="D8" s="162"/>
      <c r="E8" s="162"/>
      <c r="F8" s="162"/>
      <c r="G8" s="162"/>
      <c r="H8" s="162"/>
      <c r="I8" s="162"/>
      <c r="J8" s="163"/>
    </row>
    <row r="9" spans="1:22" x14ac:dyDescent="0.25">
      <c r="A9" s="63" t="s">
        <v>4</v>
      </c>
      <c r="B9" s="4">
        <v>103689</v>
      </c>
      <c r="C9" s="164"/>
      <c r="D9" s="165"/>
      <c r="E9" s="165"/>
      <c r="F9" s="165"/>
      <c r="G9" s="165"/>
      <c r="H9" s="165"/>
      <c r="I9" s="165"/>
      <c r="J9" s="166"/>
    </row>
    <row r="10" spans="1:22" ht="12.75" customHeight="1" x14ac:dyDescent="0.25">
      <c r="A10" s="152" t="s">
        <v>132</v>
      </c>
      <c r="B10" s="153"/>
      <c r="C10" s="50" t="s">
        <v>5</v>
      </c>
      <c r="D10" s="50" t="s">
        <v>7</v>
      </c>
      <c r="E10" s="50" t="s">
        <v>136</v>
      </c>
      <c r="F10" s="54" t="s">
        <v>8</v>
      </c>
      <c r="G10" s="54"/>
      <c r="H10" s="55"/>
      <c r="I10" s="49" t="s">
        <v>133</v>
      </c>
      <c r="J10" s="64" t="s">
        <v>10</v>
      </c>
      <c r="K10" s="56"/>
      <c r="R10" s="56"/>
      <c r="S10" s="57"/>
      <c r="T10" s="57"/>
      <c r="U10" s="57"/>
      <c r="V10" s="57"/>
    </row>
    <row r="11" spans="1:22" x14ac:dyDescent="0.25">
      <c r="A11" s="203" t="s">
        <v>131</v>
      </c>
      <c r="B11" s="204"/>
      <c r="C11" s="5"/>
      <c r="D11" s="6">
        <v>2.4</v>
      </c>
      <c r="E11" s="6">
        <v>1.2</v>
      </c>
      <c r="F11" s="6">
        <v>1</v>
      </c>
      <c r="G11" s="6"/>
      <c r="H11" s="7"/>
      <c r="I11" s="6">
        <f>ROUND(D11*E11*F11,2)</f>
        <v>2.88</v>
      </c>
      <c r="J11" s="205"/>
      <c r="K11" s="56"/>
    </row>
    <row r="12" spans="1:22" x14ac:dyDescent="0.25">
      <c r="A12" s="130" t="s">
        <v>11</v>
      </c>
      <c r="B12" s="131"/>
      <c r="C12" s="131"/>
      <c r="D12" s="131"/>
      <c r="E12" s="131"/>
      <c r="F12" s="131"/>
      <c r="G12" s="131"/>
      <c r="H12" s="132"/>
      <c r="I12" s="8">
        <f>ROUND(SUM(I11),2)</f>
        <v>2.88</v>
      </c>
      <c r="J12" s="205"/>
      <c r="K12" s="56"/>
    </row>
    <row r="13" spans="1:22" x14ac:dyDescent="0.25">
      <c r="A13" s="135"/>
      <c r="B13" s="136"/>
      <c r="C13" s="136"/>
      <c r="D13" s="136"/>
      <c r="E13" s="136"/>
      <c r="F13" s="136"/>
      <c r="G13" s="136"/>
      <c r="H13" s="136"/>
      <c r="I13" s="136"/>
      <c r="J13" s="137"/>
      <c r="K13" s="56"/>
    </row>
    <row r="14" spans="1:22" x14ac:dyDescent="0.25">
      <c r="A14" s="94" t="s">
        <v>3</v>
      </c>
      <c r="B14" s="95" t="s">
        <v>157</v>
      </c>
      <c r="C14" s="161" t="s">
        <v>159</v>
      </c>
      <c r="D14" s="162"/>
      <c r="E14" s="162"/>
      <c r="F14" s="162"/>
      <c r="G14" s="162"/>
      <c r="H14" s="162"/>
      <c r="I14" s="162"/>
      <c r="J14" s="163"/>
      <c r="K14" s="56"/>
    </row>
    <row r="15" spans="1:22" x14ac:dyDescent="0.25">
      <c r="A15" s="63" t="s">
        <v>4</v>
      </c>
      <c r="B15" s="4" t="s">
        <v>158</v>
      </c>
      <c r="C15" s="164"/>
      <c r="D15" s="165"/>
      <c r="E15" s="165"/>
      <c r="F15" s="165"/>
      <c r="G15" s="165"/>
      <c r="H15" s="165"/>
      <c r="I15" s="165"/>
      <c r="J15" s="166"/>
      <c r="K15" s="56"/>
    </row>
    <row r="16" spans="1:22" x14ac:dyDescent="0.25">
      <c r="A16" s="152" t="s">
        <v>132</v>
      </c>
      <c r="B16" s="153"/>
      <c r="C16" s="50" t="s">
        <v>5</v>
      </c>
      <c r="D16" s="50" t="s">
        <v>160</v>
      </c>
      <c r="E16" s="50"/>
      <c r="F16" s="54"/>
      <c r="G16" s="54"/>
      <c r="H16" s="55"/>
      <c r="I16" s="49" t="s">
        <v>161</v>
      </c>
      <c r="J16" s="64" t="s">
        <v>10</v>
      </c>
      <c r="K16" s="56"/>
    </row>
    <row r="17" spans="1:18" x14ac:dyDescent="0.25">
      <c r="A17" s="203" t="s">
        <v>131</v>
      </c>
      <c r="B17" s="204"/>
      <c r="C17" s="5"/>
      <c r="D17" s="6">
        <v>1</v>
      </c>
      <c r="E17" s="6"/>
      <c r="F17" s="6"/>
      <c r="G17" s="6"/>
      <c r="H17" s="7"/>
      <c r="I17" s="6">
        <f>D17</f>
        <v>1</v>
      </c>
      <c r="J17" s="205"/>
      <c r="K17" s="56"/>
    </row>
    <row r="18" spans="1:18" x14ac:dyDescent="0.25">
      <c r="A18" s="130" t="s">
        <v>11</v>
      </c>
      <c r="B18" s="131"/>
      <c r="C18" s="131"/>
      <c r="D18" s="131"/>
      <c r="E18" s="131"/>
      <c r="F18" s="131"/>
      <c r="G18" s="131"/>
      <c r="H18" s="132"/>
      <c r="I18" s="8">
        <f>ROUND(SUM(I17),2)</f>
        <v>1</v>
      </c>
      <c r="J18" s="205"/>
      <c r="K18" s="56"/>
    </row>
    <row r="19" spans="1:18" x14ac:dyDescent="0.25">
      <c r="A19" s="148"/>
      <c r="B19" s="149"/>
      <c r="C19" s="149"/>
      <c r="D19" s="149"/>
      <c r="E19" s="149"/>
      <c r="F19" s="149"/>
      <c r="G19" s="149"/>
      <c r="H19" s="149"/>
      <c r="I19" s="149"/>
      <c r="J19" s="150"/>
      <c r="K19" s="56"/>
    </row>
    <row r="20" spans="1:18" x14ac:dyDescent="0.25">
      <c r="A20" s="112" t="s">
        <v>89</v>
      </c>
      <c r="B20" s="113"/>
      <c r="C20" s="113"/>
      <c r="D20" s="113"/>
      <c r="E20" s="113"/>
      <c r="F20" s="113"/>
      <c r="G20" s="113"/>
      <c r="H20" s="113"/>
      <c r="I20" s="113"/>
      <c r="J20" s="114"/>
    </row>
    <row r="21" spans="1:18" x14ac:dyDescent="0.25">
      <c r="A21" s="148"/>
      <c r="B21" s="149"/>
      <c r="C21" s="149"/>
      <c r="D21" s="149"/>
      <c r="E21" s="149"/>
      <c r="F21" s="149"/>
      <c r="G21" s="149"/>
      <c r="H21" s="149"/>
      <c r="I21" s="149"/>
      <c r="J21" s="150"/>
    </row>
    <row r="22" spans="1:18" ht="15" customHeight="1" x14ac:dyDescent="0.25">
      <c r="A22" s="63" t="s">
        <v>3</v>
      </c>
      <c r="B22" s="95" t="s">
        <v>90</v>
      </c>
      <c r="C22" s="161" t="s">
        <v>78</v>
      </c>
      <c r="D22" s="162"/>
      <c r="E22" s="162"/>
      <c r="F22" s="162"/>
      <c r="G22" s="162"/>
      <c r="H22" s="162"/>
      <c r="I22" s="162"/>
      <c r="J22" s="163"/>
    </row>
    <row r="23" spans="1:18" x14ac:dyDescent="0.25">
      <c r="A23" s="63" t="s">
        <v>4</v>
      </c>
      <c r="B23" s="4" t="s">
        <v>85</v>
      </c>
      <c r="C23" s="164"/>
      <c r="D23" s="165"/>
      <c r="E23" s="165"/>
      <c r="F23" s="165"/>
      <c r="G23" s="165"/>
      <c r="H23" s="165"/>
      <c r="I23" s="165"/>
      <c r="J23" s="166"/>
    </row>
    <row r="24" spans="1:18" x14ac:dyDescent="0.25">
      <c r="A24" s="152" t="s">
        <v>132</v>
      </c>
      <c r="B24" s="153"/>
      <c r="C24" s="50" t="s">
        <v>5</v>
      </c>
      <c r="D24" s="50" t="s">
        <v>6</v>
      </c>
      <c r="E24" s="50" t="s">
        <v>136</v>
      </c>
      <c r="F24" s="54" t="s">
        <v>8</v>
      </c>
      <c r="G24" s="54"/>
      <c r="H24" s="53"/>
      <c r="I24" s="49" t="s">
        <v>133</v>
      </c>
      <c r="J24" s="64" t="s">
        <v>10</v>
      </c>
      <c r="K24" s="56"/>
      <c r="R24" s="56"/>
    </row>
    <row r="25" spans="1:18" x14ac:dyDescent="0.25">
      <c r="A25" s="167"/>
      <c r="B25" s="168"/>
      <c r="C25" s="9" t="s">
        <v>145</v>
      </c>
      <c r="D25" s="6">
        <f>61.24+109.76+61.06+109.63</f>
        <v>341.69</v>
      </c>
      <c r="E25" s="6">
        <v>1.3</v>
      </c>
      <c r="F25" s="6">
        <v>1</v>
      </c>
      <c r="G25" s="11"/>
      <c r="H25" s="11"/>
      <c r="I25" s="6">
        <f>ROUND(D25*E25*F25,2)</f>
        <v>444.2</v>
      </c>
      <c r="J25" s="128"/>
      <c r="K25" s="56"/>
    </row>
    <row r="26" spans="1:18" x14ac:dyDescent="0.25">
      <c r="A26" s="130" t="s">
        <v>11</v>
      </c>
      <c r="B26" s="131"/>
      <c r="C26" s="131"/>
      <c r="D26" s="131"/>
      <c r="E26" s="131"/>
      <c r="F26" s="131"/>
      <c r="G26" s="131"/>
      <c r="H26" s="132"/>
      <c r="I26" s="8">
        <f>ROUND(SUM(I25),2)</f>
        <v>444.2</v>
      </c>
      <c r="J26" s="129"/>
      <c r="K26" s="56"/>
    </row>
    <row r="27" spans="1:18" ht="15" customHeight="1" x14ac:dyDescent="0.25">
      <c r="A27" s="148"/>
      <c r="B27" s="149"/>
      <c r="C27" s="149"/>
      <c r="D27" s="149"/>
      <c r="E27" s="149"/>
      <c r="F27" s="149"/>
      <c r="G27" s="149"/>
      <c r="H27" s="149"/>
      <c r="I27" s="149"/>
      <c r="J27" s="150"/>
      <c r="K27" s="56"/>
    </row>
    <row r="28" spans="1:18" ht="15" customHeight="1" x14ac:dyDescent="0.25">
      <c r="A28" s="63" t="s">
        <v>3</v>
      </c>
      <c r="B28" s="95" t="s">
        <v>95</v>
      </c>
      <c r="C28" s="161" t="s">
        <v>79</v>
      </c>
      <c r="D28" s="162"/>
      <c r="E28" s="162"/>
      <c r="F28" s="162"/>
      <c r="G28" s="162"/>
      <c r="H28" s="162"/>
      <c r="I28" s="162"/>
      <c r="J28" s="163"/>
    </row>
    <row r="29" spans="1:18" x14ac:dyDescent="0.25">
      <c r="A29" s="63" t="s">
        <v>4</v>
      </c>
      <c r="B29" s="4" t="s">
        <v>86</v>
      </c>
      <c r="C29" s="164"/>
      <c r="D29" s="165"/>
      <c r="E29" s="165"/>
      <c r="F29" s="165"/>
      <c r="G29" s="165"/>
      <c r="H29" s="165"/>
      <c r="I29" s="165"/>
      <c r="J29" s="166"/>
    </row>
    <row r="30" spans="1:18" ht="29.25" customHeight="1" x14ac:dyDescent="0.25">
      <c r="A30" s="124" t="s">
        <v>132</v>
      </c>
      <c r="B30" s="125"/>
      <c r="C30" s="49" t="s">
        <v>61</v>
      </c>
      <c r="D30" s="51" t="s">
        <v>140</v>
      </c>
      <c r="E30" s="50"/>
      <c r="F30" s="50"/>
      <c r="G30" s="52"/>
      <c r="H30" s="51"/>
      <c r="I30" s="52" t="s">
        <v>196</v>
      </c>
      <c r="J30" s="65" t="s">
        <v>10</v>
      </c>
      <c r="K30" s="56"/>
      <c r="R30" s="56"/>
    </row>
    <row r="31" spans="1:18" x14ac:dyDescent="0.25">
      <c r="A31" s="133"/>
      <c r="B31" s="134"/>
      <c r="C31" s="13"/>
      <c r="D31" s="10">
        <v>80</v>
      </c>
      <c r="E31" s="14"/>
      <c r="F31" s="14"/>
      <c r="G31" s="6"/>
      <c r="H31" s="14"/>
      <c r="I31" s="13">
        <f>D31</f>
        <v>80</v>
      </c>
      <c r="J31" s="87"/>
      <c r="K31" s="56"/>
    </row>
    <row r="32" spans="1:18" x14ac:dyDescent="0.25">
      <c r="A32" s="130" t="s">
        <v>11</v>
      </c>
      <c r="B32" s="131"/>
      <c r="C32" s="131"/>
      <c r="D32" s="131"/>
      <c r="E32" s="131"/>
      <c r="F32" s="131"/>
      <c r="G32" s="131"/>
      <c r="H32" s="132"/>
      <c r="I32" s="8">
        <f>ROUND(SUM(I31),2)</f>
        <v>80</v>
      </c>
      <c r="J32" s="66"/>
      <c r="K32" s="56"/>
    </row>
    <row r="33" spans="1:18" x14ac:dyDescent="0.25">
      <c r="A33" s="186"/>
      <c r="B33" s="187"/>
      <c r="C33" s="187"/>
      <c r="D33" s="187"/>
      <c r="E33" s="187"/>
      <c r="F33" s="187"/>
      <c r="G33" s="187"/>
      <c r="H33" s="187"/>
      <c r="I33" s="187"/>
      <c r="J33" s="188"/>
    </row>
    <row r="34" spans="1:18" ht="15" customHeight="1" x14ac:dyDescent="0.25">
      <c r="A34" s="63" t="s">
        <v>3</v>
      </c>
      <c r="B34" s="95" t="s">
        <v>91</v>
      </c>
      <c r="C34" s="118" t="s">
        <v>228</v>
      </c>
      <c r="D34" s="119"/>
      <c r="E34" s="119"/>
      <c r="F34" s="119"/>
      <c r="G34" s="119"/>
      <c r="H34" s="119"/>
      <c r="I34" s="119"/>
      <c r="J34" s="120"/>
    </row>
    <row r="35" spans="1:18" x14ac:dyDescent="0.25">
      <c r="A35" s="63" t="s">
        <v>4</v>
      </c>
      <c r="B35" s="4" t="s">
        <v>229</v>
      </c>
      <c r="C35" s="121"/>
      <c r="D35" s="122"/>
      <c r="E35" s="122"/>
      <c r="F35" s="122"/>
      <c r="G35" s="122"/>
      <c r="H35" s="122"/>
      <c r="I35" s="122"/>
      <c r="J35" s="123"/>
    </row>
    <row r="36" spans="1:18" ht="28.5" x14ac:dyDescent="0.25">
      <c r="A36" s="152" t="s">
        <v>132</v>
      </c>
      <c r="B36" s="153"/>
      <c r="C36" s="49" t="s">
        <v>61</v>
      </c>
      <c r="D36" s="51" t="s">
        <v>134</v>
      </c>
      <c r="E36" s="50"/>
      <c r="F36" s="182"/>
      <c r="G36" s="183"/>
      <c r="H36" s="49"/>
      <c r="I36" s="52" t="s">
        <v>139</v>
      </c>
      <c r="J36" s="65" t="s">
        <v>10</v>
      </c>
      <c r="K36" s="56"/>
      <c r="R36" s="56"/>
    </row>
    <row r="37" spans="1:18" x14ac:dyDescent="0.25">
      <c r="A37" s="156"/>
      <c r="B37" s="157"/>
      <c r="C37" s="44" t="s">
        <v>221</v>
      </c>
      <c r="D37" s="10">
        <f>42+3+65+4+15+3</f>
        <v>132</v>
      </c>
      <c r="E37" s="45"/>
      <c r="F37" s="184"/>
      <c r="G37" s="185"/>
      <c r="H37" s="45"/>
      <c r="I37" s="13">
        <f>D37</f>
        <v>132</v>
      </c>
      <c r="J37" s="151"/>
      <c r="K37" s="56"/>
    </row>
    <row r="38" spans="1:18" x14ac:dyDescent="0.25">
      <c r="A38" s="88"/>
      <c r="B38" s="89"/>
      <c r="C38" s="89"/>
      <c r="D38" s="89"/>
      <c r="E38" s="89"/>
      <c r="F38" s="96"/>
      <c r="G38" s="96"/>
      <c r="H38" s="90" t="s">
        <v>11</v>
      </c>
      <c r="I38" s="8">
        <f>ROUND(SUM(I37),2)</f>
        <v>132</v>
      </c>
      <c r="J38" s="147"/>
      <c r="K38" s="56"/>
    </row>
    <row r="39" spans="1:18" x14ac:dyDescent="0.25">
      <c r="A39" s="135"/>
      <c r="B39" s="136"/>
      <c r="C39" s="136"/>
      <c r="D39" s="136"/>
      <c r="E39" s="136"/>
      <c r="F39" s="136"/>
      <c r="G39" s="136"/>
      <c r="H39" s="136"/>
      <c r="I39" s="136"/>
      <c r="J39" s="137"/>
    </row>
    <row r="40" spans="1:18" x14ac:dyDescent="0.25">
      <c r="A40" s="63" t="s">
        <v>3</v>
      </c>
      <c r="B40" s="95" t="s">
        <v>92</v>
      </c>
      <c r="C40" s="118" t="s">
        <v>80</v>
      </c>
      <c r="D40" s="119"/>
      <c r="E40" s="119"/>
      <c r="F40" s="119"/>
      <c r="G40" s="119"/>
      <c r="H40" s="119"/>
      <c r="I40" s="119"/>
      <c r="J40" s="120"/>
    </row>
    <row r="41" spans="1:18" x14ac:dyDescent="0.25">
      <c r="A41" s="63" t="s">
        <v>4</v>
      </c>
      <c r="B41" s="4">
        <v>98522</v>
      </c>
      <c r="C41" s="121"/>
      <c r="D41" s="122"/>
      <c r="E41" s="122"/>
      <c r="F41" s="122"/>
      <c r="G41" s="122"/>
      <c r="H41" s="122"/>
      <c r="I41" s="122"/>
      <c r="J41" s="123"/>
    </row>
    <row r="42" spans="1:18" ht="28.5" x14ac:dyDescent="0.25">
      <c r="A42" s="152" t="s">
        <v>132</v>
      </c>
      <c r="B42" s="153"/>
      <c r="C42" s="49" t="s">
        <v>61</v>
      </c>
      <c r="D42" s="50" t="s">
        <v>6</v>
      </c>
      <c r="E42" s="50"/>
      <c r="F42" s="49"/>
      <c r="G42" s="49"/>
      <c r="H42" s="53"/>
      <c r="I42" s="49" t="s">
        <v>135</v>
      </c>
      <c r="J42" s="65" t="s">
        <v>10</v>
      </c>
    </row>
    <row r="43" spans="1:18" x14ac:dyDescent="0.25">
      <c r="A43" s="189"/>
      <c r="B43" s="190"/>
      <c r="C43" s="10"/>
      <c r="D43" s="6">
        <f>61.24+109.76+61.06+109.63</f>
        <v>341.69</v>
      </c>
      <c r="E43" s="6"/>
      <c r="F43" s="10"/>
      <c r="G43" s="10"/>
      <c r="H43" s="15"/>
      <c r="I43" s="13">
        <f>D43</f>
        <v>341.69</v>
      </c>
      <c r="J43" s="151"/>
    </row>
    <row r="44" spans="1:18" x14ac:dyDescent="0.25">
      <c r="A44" s="130" t="s">
        <v>11</v>
      </c>
      <c r="B44" s="131"/>
      <c r="C44" s="131"/>
      <c r="D44" s="131"/>
      <c r="E44" s="131"/>
      <c r="F44" s="131"/>
      <c r="G44" s="131"/>
      <c r="H44" s="132"/>
      <c r="I44" s="8">
        <f>ROUND(SUM(I43),2)</f>
        <v>341.69</v>
      </c>
      <c r="J44" s="147"/>
    </row>
    <row r="45" spans="1:18" x14ac:dyDescent="0.25">
      <c r="A45" s="85"/>
      <c r="B45" s="86"/>
      <c r="C45" s="92"/>
      <c r="D45" s="92"/>
      <c r="E45" s="92"/>
      <c r="F45" s="92"/>
      <c r="G45" s="92"/>
      <c r="H45" s="92"/>
      <c r="I45" s="92"/>
      <c r="J45" s="93"/>
    </row>
    <row r="46" spans="1:18" x14ac:dyDescent="0.25">
      <c r="A46" s="63" t="s">
        <v>3</v>
      </c>
      <c r="B46" s="95" t="s">
        <v>93</v>
      </c>
      <c r="C46" s="118" t="s">
        <v>81</v>
      </c>
      <c r="D46" s="119"/>
      <c r="E46" s="119"/>
      <c r="F46" s="119"/>
      <c r="G46" s="119"/>
      <c r="H46" s="119"/>
      <c r="I46" s="119"/>
      <c r="J46" s="120"/>
    </row>
    <row r="47" spans="1:18" x14ac:dyDescent="0.25">
      <c r="A47" s="63" t="s">
        <v>4</v>
      </c>
      <c r="B47" s="4" t="s">
        <v>84</v>
      </c>
      <c r="C47" s="121"/>
      <c r="D47" s="122"/>
      <c r="E47" s="122"/>
      <c r="F47" s="122"/>
      <c r="G47" s="122"/>
      <c r="H47" s="122"/>
      <c r="I47" s="122"/>
      <c r="J47" s="123"/>
      <c r="R47" s="56"/>
    </row>
    <row r="48" spans="1:18" ht="28.5" x14ac:dyDescent="0.25">
      <c r="A48" s="152" t="s">
        <v>132</v>
      </c>
      <c r="B48" s="153"/>
      <c r="C48" s="49" t="s">
        <v>61</v>
      </c>
      <c r="D48" s="50" t="s">
        <v>6</v>
      </c>
      <c r="E48" s="50" t="s">
        <v>7</v>
      </c>
      <c r="F48" s="54" t="s">
        <v>8</v>
      </c>
      <c r="G48" s="49"/>
      <c r="H48" s="49"/>
      <c r="I48" s="49" t="s">
        <v>9</v>
      </c>
      <c r="J48" s="65" t="s">
        <v>10</v>
      </c>
      <c r="K48" s="56"/>
    </row>
    <row r="49" spans="1:18" ht="20.25" customHeight="1" x14ac:dyDescent="0.25">
      <c r="A49" s="189" t="s">
        <v>225</v>
      </c>
      <c r="B49" s="190"/>
      <c r="C49" s="10"/>
      <c r="D49" s="10">
        <v>30</v>
      </c>
      <c r="E49" s="10">
        <v>1.5</v>
      </c>
      <c r="F49" s="10"/>
      <c r="G49" s="10"/>
      <c r="H49" s="15"/>
      <c r="I49" s="6">
        <f>D49*E49</f>
        <v>45</v>
      </c>
      <c r="J49" s="151"/>
      <c r="K49" s="56"/>
    </row>
    <row r="50" spans="1:18" x14ac:dyDescent="0.25">
      <c r="A50" s="130" t="s">
        <v>11</v>
      </c>
      <c r="B50" s="131"/>
      <c r="C50" s="131"/>
      <c r="D50" s="131"/>
      <c r="E50" s="131"/>
      <c r="F50" s="131"/>
      <c r="G50" s="131"/>
      <c r="H50" s="132"/>
      <c r="I50" s="8">
        <f>ROUND(SUM(I49:I49),2)</f>
        <v>45</v>
      </c>
      <c r="J50" s="147"/>
      <c r="K50" s="56"/>
    </row>
    <row r="51" spans="1:18" x14ac:dyDescent="0.25">
      <c r="A51" s="135"/>
      <c r="B51" s="136"/>
      <c r="C51" s="136"/>
      <c r="D51" s="136"/>
      <c r="E51" s="136"/>
      <c r="F51" s="136"/>
      <c r="G51" s="136"/>
      <c r="H51" s="136"/>
      <c r="I51" s="136"/>
      <c r="J51" s="137"/>
    </row>
    <row r="52" spans="1:18" x14ac:dyDescent="0.25">
      <c r="A52" s="63" t="s">
        <v>3</v>
      </c>
      <c r="B52" s="95" t="s">
        <v>94</v>
      </c>
      <c r="C52" s="214" t="s">
        <v>82</v>
      </c>
      <c r="D52" s="215"/>
      <c r="E52" s="215"/>
      <c r="F52" s="215"/>
      <c r="G52" s="215"/>
      <c r="H52" s="215"/>
      <c r="I52" s="215"/>
      <c r="J52" s="216"/>
    </row>
    <row r="53" spans="1:18" x14ac:dyDescent="0.25">
      <c r="A53" s="63" t="s">
        <v>4</v>
      </c>
      <c r="B53" s="4" t="s">
        <v>83</v>
      </c>
      <c r="C53" s="217"/>
      <c r="D53" s="218"/>
      <c r="E53" s="218"/>
      <c r="F53" s="218"/>
      <c r="G53" s="218"/>
      <c r="H53" s="218"/>
      <c r="I53" s="218"/>
      <c r="J53" s="219"/>
    </row>
    <row r="54" spans="1:18" ht="28.5" x14ac:dyDescent="0.25">
      <c r="A54" s="152" t="s">
        <v>132</v>
      </c>
      <c r="B54" s="153"/>
      <c r="C54" s="49" t="s">
        <v>61</v>
      </c>
      <c r="D54" s="50" t="s">
        <v>6</v>
      </c>
      <c r="E54" s="50" t="s">
        <v>136</v>
      </c>
      <c r="F54" s="49" t="s">
        <v>133</v>
      </c>
      <c r="G54" s="49"/>
      <c r="H54" s="49"/>
      <c r="I54" s="49" t="s">
        <v>9</v>
      </c>
      <c r="J54" s="65" t="s">
        <v>10</v>
      </c>
      <c r="K54" s="56"/>
      <c r="R54" s="56"/>
    </row>
    <row r="55" spans="1:18" x14ac:dyDescent="0.25">
      <c r="A55" s="156" t="s">
        <v>224</v>
      </c>
      <c r="B55" s="157"/>
      <c r="C55" s="44" t="s">
        <v>226</v>
      </c>
      <c r="D55" s="10"/>
      <c r="E55" s="10"/>
      <c r="F55" s="10">
        <f>((14.1*3.5)/2)+((11.5*3.5)/2)</f>
        <v>44.8</v>
      </c>
      <c r="G55" s="10"/>
      <c r="H55" s="15"/>
      <c r="I55" s="6">
        <f>F55</f>
        <v>44.8</v>
      </c>
      <c r="J55" s="128"/>
      <c r="K55" s="56"/>
    </row>
    <row r="56" spans="1:18" x14ac:dyDescent="0.25">
      <c r="A56" s="156" t="s">
        <v>222</v>
      </c>
      <c r="B56" s="157"/>
      <c r="C56" s="44"/>
      <c r="D56" s="10">
        <v>68.099999999999994</v>
      </c>
      <c r="E56" s="10">
        <v>5</v>
      </c>
      <c r="F56" s="10"/>
      <c r="G56" s="10"/>
      <c r="H56" s="15"/>
      <c r="I56" s="6">
        <f>E56*D56</f>
        <v>340.5</v>
      </c>
      <c r="J56" s="169"/>
      <c r="K56" s="56"/>
    </row>
    <row r="57" spans="1:18" x14ac:dyDescent="0.25">
      <c r="A57" s="156" t="s">
        <v>223</v>
      </c>
      <c r="B57" s="157"/>
      <c r="C57" s="44" t="s">
        <v>227</v>
      </c>
      <c r="D57" s="10"/>
      <c r="E57" s="10"/>
      <c r="F57" s="10">
        <f>((20.8*3.5)/2)+((20.7*3.5)/2)</f>
        <v>72.625</v>
      </c>
      <c r="G57" s="10"/>
      <c r="H57" s="15"/>
      <c r="I57" s="6">
        <f>F57</f>
        <v>72.625</v>
      </c>
      <c r="J57" s="169"/>
      <c r="K57" s="56"/>
    </row>
    <row r="58" spans="1:18" x14ac:dyDescent="0.25">
      <c r="A58" s="130" t="s">
        <v>11</v>
      </c>
      <c r="B58" s="131"/>
      <c r="C58" s="131"/>
      <c r="D58" s="131"/>
      <c r="E58" s="131"/>
      <c r="F58" s="131"/>
      <c r="G58" s="131"/>
      <c r="H58" s="132"/>
      <c r="I58" s="8">
        <f>ROUND(SUM(I55:I57),2)</f>
        <v>457.93</v>
      </c>
      <c r="J58" s="129"/>
      <c r="K58" s="56"/>
    </row>
    <row r="59" spans="1:18" x14ac:dyDescent="0.25">
      <c r="A59" s="135"/>
      <c r="B59" s="136"/>
      <c r="C59" s="136"/>
      <c r="D59" s="136"/>
      <c r="E59" s="136"/>
      <c r="F59" s="136"/>
      <c r="G59" s="136"/>
      <c r="H59" s="136"/>
      <c r="I59" s="136"/>
      <c r="J59" s="137"/>
    </row>
    <row r="60" spans="1:18" x14ac:dyDescent="0.25">
      <c r="A60" s="112" t="s">
        <v>96</v>
      </c>
      <c r="B60" s="113"/>
      <c r="C60" s="113"/>
      <c r="D60" s="113"/>
      <c r="E60" s="113"/>
      <c r="F60" s="113"/>
      <c r="G60" s="113"/>
      <c r="H60" s="113"/>
      <c r="I60" s="113"/>
      <c r="J60" s="114"/>
    </row>
    <row r="61" spans="1:18" x14ac:dyDescent="0.25">
      <c r="A61" s="135"/>
      <c r="B61" s="136"/>
      <c r="C61" s="136"/>
      <c r="D61" s="136"/>
      <c r="E61" s="136"/>
      <c r="F61" s="136"/>
      <c r="G61" s="136"/>
      <c r="H61" s="136"/>
      <c r="I61" s="136"/>
      <c r="J61" s="137"/>
    </row>
    <row r="62" spans="1:18" ht="15" customHeight="1" x14ac:dyDescent="0.25">
      <c r="A62" s="63" t="s">
        <v>3</v>
      </c>
      <c r="B62" s="105" t="s">
        <v>210</v>
      </c>
      <c r="C62" s="118" t="s">
        <v>212</v>
      </c>
      <c r="D62" s="119"/>
      <c r="E62" s="119"/>
      <c r="F62" s="119"/>
      <c r="G62" s="119"/>
      <c r="H62" s="119"/>
      <c r="I62" s="119"/>
      <c r="J62" s="120"/>
    </row>
    <row r="63" spans="1:18" x14ac:dyDescent="0.25">
      <c r="A63" s="63" t="s">
        <v>4</v>
      </c>
      <c r="B63" s="4" t="s">
        <v>211</v>
      </c>
      <c r="C63" s="121"/>
      <c r="D63" s="122"/>
      <c r="E63" s="122"/>
      <c r="F63" s="122"/>
      <c r="G63" s="122"/>
      <c r="H63" s="122"/>
      <c r="I63" s="122"/>
      <c r="J63" s="123"/>
    </row>
    <row r="64" spans="1:18" ht="31.5" customHeight="1" x14ac:dyDescent="0.25">
      <c r="A64" s="152" t="s">
        <v>132</v>
      </c>
      <c r="B64" s="153"/>
      <c r="C64" s="49" t="s">
        <v>61</v>
      </c>
      <c r="D64" s="50" t="s">
        <v>6</v>
      </c>
      <c r="E64" s="50" t="s">
        <v>136</v>
      </c>
      <c r="F64" s="49"/>
      <c r="G64" s="49"/>
      <c r="H64" s="49"/>
      <c r="I64" s="49" t="s">
        <v>9</v>
      </c>
      <c r="J64" s="65" t="s">
        <v>10</v>
      </c>
      <c r="K64" s="56"/>
      <c r="R64" s="56"/>
    </row>
    <row r="65" spans="1:11" x14ac:dyDescent="0.25">
      <c r="A65" s="156" t="s">
        <v>213</v>
      </c>
      <c r="B65" s="157"/>
      <c r="C65" s="44"/>
      <c r="D65" s="45">
        <v>2.7</v>
      </c>
      <c r="E65" s="45">
        <v>2</v>
      </c>
      <c r="F65" s="45"/>
      <c r="G65" s="45"/>
      <c r="H65" s="45"/>
      <c r="I65" s="44">
        <f>D65*E65</f>
        <v>5.4</v>
      </c>
      <c r="J65" s="151"/>
      <c r="K65" s="56"/>
    </row>
    <row r="66" spans="1:11" x14ac:dyDescent="0.25">
      <c r="A66" s="130" t="s">
        <v>11</v>
      </c>
      <c r="B66" s="131"/>
      <c r="C66" s="131"/>
      <c r="D66" s="131"/>
      <c r="E66" s="131"/>
      <c r="F66" s="131"/>
      <c r="G66" s="131"/>
      <c r="H66" s="132"/>
      <c r="I66" s="8">
        <f>ROUND(SUM(I65:I65),2)</f>
        <v>5.4</v>
      </c>
      <c r="J66" s="147"/>
      <c r="K66" s="56"/>
    </row>
    <row r="67" spans="1:11" x14ac:dyDescent="0.25">
      <c r="A67" s="135"/>
      <c r="B67" s="136"/>
      <c r="C67" s="136"/>
      <c r="D67" s="136"/>
      <c r="E67" s="136"/>
      <c r="F67" s="136"/>
      <c r="G67" s="136"/>
      <c r="H67" s="136"/>
      <c r="I67" s="136"/>
      <c r="J67" s="137"/>
    </row>
    <row r="68" spans="1:11" x14ac:dyDescent="0.25">
      <c r="A68" s="63" t="s">
        <v>3</v>
      </c>
      <c r="B68" s="95" t="s">
        <v>214</v>
      </c>
      <c r="C68" s="118" t="s">
        <v>234</v>
      </c>
      <c r="D68" s="119"/>
      <c r="E68" s="119"/>
      <c r="F68" s="119"/>
      <c r="G68" s="119"/>
      <c r="H68" s="119"/>
      <c r="I68" s="119"/>
      <c r="J68" s="120"/>
    </row>
    <row r="69" spans="1:11" x14ac:dyDescent="0.25">
      <c r="A69" s="63" t="s">
        <v>4</v>
      </c>
      <c r="B69" s="4" t="s">
        <v>235</v>
      </c>
      <c r="C69" s="121"/>
      <c r="D69" s="122"/>
      <c r="E69" s="122"/>
      <c r="F69" s="122"/>
      <c r="G69" s="122"/>
      <c r="H69" s="122"/>
      <c r="I69" s="122"/>
      <c r="J69" s="123"/>
    </row>
    <row r="70" spans="1:11" ht="28.5" x14ac:dyDescent="0.25">
      <c r="A70" s="152" t="s">
        <v>132</v>
      </c>
      <c r="B70" s="153"/>
      <c r="C70" s="49" t="s">
        <v>61</v>
      </c>
      <c r="D70" s="51" t="s">
        <v>134</v>
      </c>
      <c r="E70" s="50"/>
      <c r="F70" s="182"/>
      <c r="G70" s="183"/>
      <c r="H70" s="49"/>
      <c r="I70" s="52" t="s">
        <v>139</v>
      </c>
      <c r="J70" s="65" t="s">
        <v>10</v>
      </c>
    </row>
    <row r="71" spans="1:11" x14ac:dyDescent="0.25">
      <c r="A71" s="156" t="s">
        <v>213</v>
      </c>
      <c r="B71" s="157"/>
      <c r="C71" s="44"/>
      <c r="D71" s="45">
        <v>1</v>
      </c>
      <c r="E71" s="45"/>
      <c r="F71" s="184"/>
      <c r="G71" s="185"/>
      <c r="H71" s="45"/>
      <c r="I71" s="13">
        <f>D71</f>
        <v>1</v>
      </c>
      <c r="J71" s="151"/>
    </row>
    <row r="72" spans="1:11" x14ac:dyDescent="0.25">
      <c r="A72" s="88"/>
      <c r="B72" s="89"/>
      <c r="C72" s="89"/>
      <c r="D72" s="89"/>
      <c r="E72" s="89"/>
      <c r="F72" s="96"/>
      <c r="G72" s="96"/>
      <c r="H72" s="90" t="s">
        <v>11</v>
      </c>
      <c r="I72" s="8">
        <f>ROUND(SUM(I71),2)</f>
        <v>1</v>
      </c>
      <c r="J72" s="147"/>
    </row>
    <row r="73" spans="1:11" x14ac:dyDescent="0.25">
      <c r="A73" s="135"/>
      <c r="B73" s="136"/>
      <c r="C73" s="136"/>
      <c r="D73" s="136"/>
      <c r="E73" s="136"/>
      <c r="F73" s="136"/>
      <c r="G73" s="136"/>
      <c r="H73" s="136"/>
      <c r="I73" s="136"/>
      <c r="J73" s="137"/>
    </row>
    <row r="74" spans="1:11" x14ac:dyDescent="0.25">
      <c r="A74" s="63" t="s">
        <v>3</v>
      </c>
      <c r="B74" s="95" t="s">
        <v>230</v>
      </c>
      <c r="C74" s="118" t="s">
        <v>231</v>
      </c>
      <c r="D74" s="119"/>
      <c r="E74" s="119"/>
      <c r="F74" s="119"/>
      <c r="G74" s="119"/>
      <c r="H74" s="119"/>
      <c r="I74" s="119"/>
      <c r="J74" s="120"/>
    </row>
    <row r="75" spans="1:11" x14ac:dyDescent="0.25">
      <c r="A75" s="63" t="s">
        <v>4</v>
      </c>
      <c r="B75" s="4" t="s">
        <v>233</v>
      </c>
      <c r="C75" s="121"/>
      <c r="D75" s="122"/>
      <c r="E75" s="122"/>
      <c r="F75" s="122"/>
      <c r="G75" s="122"/>
      <c r="H75" s="122"/>
      <c r="I75" s="122"/>
      <c r="J75" s="123"/>
    </row>
    <row r="76" spans="1:11" ht="28.5" x14ac:dyDescent="0.25">
      <c r="A76" s="152" t="s">
        <v>132</v>
      </c>
      <c r="B76" s="153"/>
      <c r="C76" s="49" t="s">
        <v>61</v>
      </c>
      <c r="D76" s="51" t="s">
        <v>134</v>
      </c>
      <c r="E76" s="50"/>
      <c r="F76" s="182"/>
      <c r="G76" s="183"/>
      <c r="H76" s="49"/>
      <c r="I76" s="52" t="s">
        <v>139</v>
      </c>
      <c r="J76" s="65" t="s">
        <v>10</v>
      </c>
    </row>
    <row r="77" spans="1:11" ht="31.5" customHeight="1" x14ac:dyDescent="0.25">
      <c r="A77" s="156" t="s">
        <v>232</v>
      </c>
      <c r="B77" s="157"/>
      <c r="C77" s="44"/>
      <c r="D77" s="45">
        <v>3</v>
      </c>
      <c r="E77" s="45"/>
      <c r="F77" s="184"/>
      <c r="G77" s="185"/>
      <c r="H77" s="45"/>
      <c r="I77" s="13">
        <f>D77</f>
        <v>3</v>
      </c>
      <c r="J77" s="151"/>
    </row>
    <row r="78" spans="1:11" x14ac:dyDescent="0.25">
      <c r="A78" s="88"/>
      <c r="B78" s="89"/>
      <c r="C78" s="89"/>
      <c r="D78" s="89"/>
      <c r="E78" s="89"/>
      <c r="F78" s="96"/>
      <c r="G78" s="96"/>
      <c r="H78" s="90" t="s">
        <v>11</v>
      </c>
      <c r="I78" s="8">
        <f>ROUND(SUM(I77),2)</f>
        <v>3</v>
      </c>
      <c r="J78" s="147"/>
    </row>
    <row r="79" spans="1:11" x14ac:dyDescent="0.25">
      <c r="A79" s="135"/>
      <c r="B79" s="136"/>
      <c r="C79" s="136"/>
      <c r="D79" s="136"/>
      <c r="E79" s="136"/>
      <c r="F79" s="136"/>
      <c r="G79" s="136"/>
      <c r="H79" s="136"/>
      <c r="I79" s="136"/>
      <c r="J79" s="137"/>
    </row>
    <row r="80" spans="1:11" hidden="1" x14ac:dyDescent="0.25">
      <c r="A80" s="112" t="s">
        <v>97</v>
      </c>
      <c r="B80" s="113"/>
      <c r="C80" s="113"/>
      <c r="D80" s="113"/>
      <c r="E80" s="113"/>
      <c r="F80" s="113"/>
      <c r="G80" s="113"/>
      <c r="H80" s="113"/>
      <c r="I80" s="113"/>
      <c r="J80" s="114"/>
    </row>
    <row r="81" spans="1:18" hidden="1" x14ac:dyDescent="0.25">
      <c r="A81" s="176"/>
      <c r="B81" s="177"/>
      <c r="C81" s="177"/>
      <c r="D81" s="177"/>
      <c r="E81" s="177"/>
      <c r="F81" s="177"/>
      <c r="G81" s="177"/>
      <c r="H81" s="177"/>
      <c r="I81" s="177"/>
      <c r="J81" s="178"/>
    </row>
    <row r="82" spans="1:18" hidden="1" x14ac:dyDescent="0.25">
      <c r="A82" s="158" t="s">
        <v>98</v>
      </c>
      <c r="B82" s="159"/>
      <c r="C82" s="159"/>
      <c r="D82" s="159"/>
      <c r="E82" s="159"/>
      <c r="F82" s="159"/>
      <c r="G82" s="159"/>
      <c r="H82" s="159"/>
      <c r="I82" s="159"/>
      <c r="J82" s="160"/>
    </row>
    <row r="83" spans="1:18" hidden="1" x14ac:dyDescent="0.25">
      <c r="A83" s="179"/>
      <c r="B83" s="180"/>
      <c r="C83" s="180"/>
      <c r="D83" s="180"/>
      <c r="E83" s="180"/>
      <c r="F83" s="180"/>
      <c r="G83" s="180"/>
      <c r="H83" s="180"/>
      <c r="I83" s="180"/>
      <c r="J83" s="181"/>
    </row>
    <row r="84" spans="1:18" ht="12.75" hidden="1" customHeight="1" x14ac:dyDescent="0.25">
      <c r="A84" s="63" t="s">
        <v>3</v>
      </c>
      <c r="B84" s="95" t="s">
        <v>99</v>
      </c>
      <c r="C84" s="170" t="s">
        <v>100</v>
      </c>
      <c r="D84" s="171"/>
      <c r="E84" s="171"/>
      <c r="F84" s="171"/>
      <c r="G84" s="171"/>
      <c r="H84" s="171"/>
      <c r="I84" s="171"/>
      <c r="J84" s="172"/>
    </row>
    <row r="85" spans="1:18" hidden="1" x14ac:dyDescent="0.25">
      <c r="A85" s="63" t="s">
        <v>4</v>
      </c>
      <c r="B85" s="4">
        <v>98524</v>
      </c>
      <c r="C85" s="173"/>
      <c r="D85" s="174"/>
      <c r="E85" s="174"/>
      <c r="F85" s="174"/>
      <c r="G85" s="174"/>
      <c r="H85" s="174"/>
      <c r="I85" s="174"/>
      <c r="J85" s="175"/>
    </row>
    <row r="86" spans="1:18" ht="28.5" hidden="1" x14ac:dyDescent="0.25">
      <c r="A86" s="152" t="s">
        <v>132</v>
      </c>
      <c r="B86" s="153"/>
      <c r="C86" s="49" t="s">
        <v>61</v>
      </c>
      <c r="D86" s="50" t="s">
        <v>6</v>
      </c>
      <c r="E86" s="50" t="s">
        <v>7</v>
      </c>
      <c r="F86" s="54" t="s">
        <v>8</v>
      </c>
      <c r="G86" s="49"/>
      <c r="H86" s="49"/>
      <c r="I86" s="49" t="s">
        <v>9</v>
      </c>
      <c r="J86" s="65" t="s">
        <v>10</v>
      </c>
      <c r="K86" s="56"/>
      <c r="R86" s="56"/>
    </row>
    <row r="87" spans="1:18" ht="15" hidden="1" customHeight="1" x14ac:dyDescent="0.25">
      <c r="A87" s="133" t="s">
        <v>180</v>
      </c>
      <c r="B87" s="134"/>
      <c r="C87" s="13" t="s">
        <v>178</v>
      </c>
      <c r="D87" s="10">
        <v>4</v>
      </c>
      <c r="E87" s="10">
        <v>10</v>
      </c>
      <c r="F87" s="10">
        <v>1</v>
      </c>
      <c r="G87" s="10"/>
      <c r="H87" s="15"/>
      <c r="I87" s="6">
        <f>ROUND(D87*E87*F87,2)</f>
        <v>40</v>
      </c>
      <c r="J87" s="146"/>
      <c r="K87" s="56"/>
    </row>
    <row r="88" spans="1:18" hidden="1" x14ac:dyDescent="0.25">
      <c r="A88" s="130" t="s">
        <v>11</v>
      </c>
      <c r="B88" s="131"/>
      <c r="C88" s="131"/>
      <c r="D88" s="131"/>
      <c r="E88" s="131"/>
      <c r="F88" s="131"/>
      <c r="G88" s="131"/>
      <c r="H88" s="132"/>
      <c r="I88" s="8">
        <f>ROUND(SUM(I87:I87),2)</f>
        <v>40</v>
      </c>
      <c r="J88" s="147"/>
      <c r="K88" s="56"/>
    </row>
    <row r="89" spans="1:18" hidden="1" x14ac:dyDescent="0.25">
      <c r="A89" s="148"/>
      <c r="B89" s="149"/>
      <c r="C89" s="149"/>
      <c r="D89" s="149"/>
      <c r="E89" s="149"/>
      <c r="F89" s="149"/>
      <c r="G89" s="149"/>
      <c r="H89" s="149"/>
      <c r="I89" s="149"/>
      <c r="J89" s="150"/>
    </row>
    <row r="90" spans="1:18" ht="15" hidden="1" customHeight="1" x14ac:dyDescent="0.25">
      <c r="A90" s="63" t="s">
        <v>3</v>
      </c>
      <c r="B90" s="95" t="s">
        <v>101</v>
      </c>
      <c r="C90" s="138" t="s">
        <v>102</v>
      </c>
      <c r="D90" s="139"/>
      <c r="E90" s="139"/>
      <c r="F90" s="139"/>
      <c r="G90" s="139"/>
      <c r="H90" s="139"/>
      <c r="I90" s="139"/>
      <c r="J90" s="140"/>
    </row>
    <row r="91" spans="1:18" hidden="1" x14ac:dyDescent="0.25">
      <c r="A91" s="63" t="s">
        <v>4</v>
      </c>
      <c r="B91" s="4">
        <v>99059</v>
      </c>
      <c r="C91" s="141"/>
      <c r="D91" s="142"/>
      <c r="E91" s="142"/>
      <c r="F91" s="142"/>
      <c r="G91" s="142"/>
      <c r="H91" s="142"/>
      <c r="I91" s="142"/>
      <c r="J91" s="143"/>
    </row>
    <row r="92" spans="1:18" ht="28.5" hidden="1" x14ac:dyDescent="0.25">
      <c r="A92" s="152" t="s">
        <v>132</v>
      </c>
      <c r="B92" s="153"/>
      <c r="C92" s="49" t="s">
        <v>61</v>
      </c>
      <c r="D92" s="50" t="s">
        <v>6</v>
      </c>
      <c r="E92" s="54" t="s">
        <v>8</v>
      </c>
      <c r="F92" s="53"/>
      <c r="G92" s="53"/>
      <c r="H92" s="53"/>
      <c r="I92" s="49" t="s">
        <v>182</v>
      </c>
      <c r="J92" s="65" t="s">
        <v>10</v>
      </c>
      <c r="K92" s="56"/>
      <c r="R92" s="56"/>
    </row>
    <row r="93" spans="1:18" hidden="1" x14ac:dyDescent="0.25">
      <c r="A93" s="133" t="s">
        <v>180</v>
      </c>
      <c r="B93" s="134"/>
      <c r="C93" s="10" t="s">
        <v>179</v>
      </c>
      <c r="D93" s="10">
        <f>4+10+4+10</f>
        <v>28</v>
      </c>
      <c r="E93" s="10">
        <v>1</v>
      </c>
      <c r="F93" s="10"/>
      <c r="G93" s="19"/>
      <c r="H93" s="58"/>
      <c r="I93" s="6">
        <f>ROUND(D93*E93,2)</f>
        <v>28</v>
      </c>
      <c r="J93" s="151"/>
      <c r="K93" s="56"/>
    </row>
    <row r="94" spans="1:18" hidden="1" x14ac:dyDescent="0.25">
      <c r="A94" s="130" t="s">
        <v>11</v>
      </c>
      <c r="B94" s="131"/>
      <c r="C94" s="131"/>
      <c r="D94" s="131"/>
      <c r="E94" s="131"/>
      <c r="F94" s="131"/>
      <c r="G94" s="131"/>
      <c r="H94" s="132"/>
      <c r="I94" s="8">
        <f>ROUND(SUM(I93:I93),2)</f>
        <v>28</v>
      </c>
      <c r="J94" s="147"/>
      <c r="K94" s="56"/>
    </row>
    <row r="95" spans="1:18" hidden="1" x14ac:dyDescent="0.25">
      <c r="A95" s="148"/>
      <c r="B95" s="149"/>
      <c r="C95" s="149"/>
      <c r="D95" s="149"/>
      <c r="E95" s="149"/>
      <c r="F95" s="149"/>
      <c r="G95" s="149"/>
      <c r="H95" s="149"/>
      <c r="I95" s="149"/>
      <c r="J95" s="150"/>
      <c r="K95" s="56"/>
    </row>
    <row r="96" spans="1:18" hidden="1" x14ac:dyDescent="0.25">
      <c r="A96" s="63" t="s">
        <v>3</v>
      </c>
      <c r="B96" s="95" t="s">
        <v>162</v>
      </c>
      <c r="C96" s="138" t="s">
        <v>169</v>
      </c>
      <c r="D96" s="139"/>
      <c r="E96" s="139"/>
      <c r="F96" s="139"/>
      <c r="G96" s="139"/>
      <c r="H96" s="139"/>
      <c r="I96" s="139"/>
      <c r="J96" s="140"/>
      <c r="K96" s="56"/>
    </row>
    <row r="97" spans="1:11" hidden="1" x14ac:dyDescent="0.25">
      <c r="A97" s="63" t="s">
        <v>4</v>
      </c>
      <c r="B97" s="4">
        <v>93358</v>
      </c>
      <c r="C97" s="141"/>
      <c r="D97" s="142"/>
      <c r="E97" s="142"/>
      <c r="F97" s="142"/>
      <c r="G97" s="142"/>
      <c r="H97" s="142"/>
      <c r="I97" s="142"/>
      <c r="J97" s="143"/>
      <c r="K97" s="56"/>
    </row>
    <row r="98" spans="1:11" ht="42.75" hidden="1" x14ac:dyDescent="0.25">
      <c r="A98" s="152" t="s">
        <v>132</v>
      </c>
      <c r="B98" s="153"/>
      <c r="C98" s="49" t="s">
        <v>61</v>
      </c>
      <c r="D98" s="49" t="s">
        <v>199</v>
      </c>
      <c r="E98" s="49" t="s">
        <v>200</v>
      </c>
      <c r="F98" s="53" t="s">
        <v>201</v>
      </c>
      <c r="G98" s="54" t="s">
        <v>8</v>
      </c>
      <c r="H98" s="53"/>
      <c r="I98" s="49" t="s">
        <v>181</v>
      </c>
      <c r="J98" s="65" t="s">
        <v>10</v>
      </c>
      <c r="K98" s="56"/>
    </row>
    <row r="99" spans="1:11" hidden="1" x14ac:dyDescent="0.25">
      <c r="A99" s="133" t="s">
        <v>202</v>
      </c>
      <c r="B99" s="134"/>
      <c r="C99" s="10"/>
      <c r="D99" s="10">
        <f>0.6+0.2</f>
        <v>0.8</v>
      </c>
      <c r="E99" s="10">
        <f>0.6+0.2</f>
        <v>0.8</v>
      </c>
      <c r="F99" s="10">
        <v>1.05</v>
      </c>
      <c r="G99" s="104">
        <v>10</v>
      </c>
      <c r="H99" s="58"/>
      <c r="I99" s="6">
        <f>ROUND(D99*E99*F99*G99,2)</f>
        <v>6.72</v>
      </c>
      <c r="J99" s="151"/>
      <c r="K99" s="56"/>
    </row>
    <row r="100" spans="1:11" hidden="1" x14ac:dyDescent="0.25">
      <c r="A100" s="133" t="s">
        <v>203</v>
      </c>
      <c r="B100" s="134"/>
      <c r="C100" s="10" t="s">
        <v>204</v>
      </c>
      <c r="D100" s="10">
        <f>3.72+3.72+(2.24*8)</f>
        <v>25.360000000000003</v>
      </c>
      <c r="E100" s="10">
        <f>0.14+0.2</f>
        <v>0.34</v>
      </c>
      <c r="F100" s="10">
        <f>0.26+0.05</f>
        <v>0.31</v>
      </c>
      <c r="G100" s="104">
        <v>1</v>
      </c>
      <c r="H100" s="58"/>
      <c r="I100" s="6">
        <f>ROUND(D100*E100*F100*G100,2)</f>
        <v>2.67</v>
      </c>
      <c r="J100" s="146"/>
      <c r="K100" s="56"/>
    </row>
    <row r="101" spans="1:11" hidden="1" x14ac:dyDescent="0.25">
      <c r="A101" s="130" t="s">
        <v>11</v>
      </c>
      <c r="B101" s="131"/>
      <c r="C101" s="131"/>
      <c r="D101" s="131"/>
      <c r="E101" s="131"/>
      <c r="F101" s="131"/>
      <c r="G101" s="131"/>
      <c r="H101" s="132"/>
      <c r="I101" s="8">
        <f>ROUND(SUM(I99:I100),2)</f>
        <v>9.39</v>
      </c>
      <c r="J101" s="147"/>
      <c r="K101" s="56"/>
    </row>
    <row r="102" spans="1:11" hidden="1" x14ac:dyDescent="0.25">
      <c r="A102" s="148"/>
      <c r="B102" s="149"/>
      <c r="C102" s="149"/>
      <c r="D102" s="149"/>
      <c r="E102" s="149"/>
      <c r="F102" s="149"/>
      <c r="G102" s="149"/>
      <c r="H102" s="149"/>
      <c r="I102" s="149"/>
      <c r="J102" s="150"/>
      <c r="K102" s="56"/>
    </row>
    <row r="103" spans="1:11" hidden="1" x14ac:dyDescent="0.25">
      <c r="A103" s="63" t="s">
        <v>3</v>
      </c>
      <c r="B103" s="95" t="s">
        <v>163</v>
      </c>
      <c r="C103" s="138" t="s">
        <v>171</v>
      </c>
      <c r="D103" s="139"/>
      <c r="E103" s="139"/>
      <c r="F103" s="139"/>
      <c r="G103" s="139"/>
      <c r="H103" s="139"/>
      <c r="I103" s="139"/>
      <c r="J103" s="140"/>
      <c r="K103" s="56"/>
    </row>
    <row r="104" spans="1:11" hidden="1" x14ac:dyDescent="0.25">
      <c r="A104" s="63" t="s">
        <v>4</v>
      </c>
      <c r="B104" s="4" t="s">
        <v>170</v>
      </c>
      <c r="C104" s="141"/>
      <c r="D104" s="142"/>
      <c r="E104" s="142"/>
      <c r="F104" s="142"/>
      <c r="G104" s="142"/>
      <c r="H104" s="142"/>
      <c r="I104" s="142"/>
      <c r="J104" s="143"/>
      <c r="K104" s="56"/>
    </row>
    <row r="105" spans="1:11" hidden="1" x14ac:dyDescent="0.25">
      <c r="A105" s="152" t="s">
        <v>132</v>
      </c>
      <c r="B105" s="153"/>
      <c r="C105" s="49" t="s">
        <v>61</v>
      </c>
      <c r="D105" s="50" t="s">
        <v>6</v>
      </c>
      <c r="E105" s="50" t="s">
        <v>7</v>
      </c>
      <c r="F105" s="54" t="s">
        <v>8</v>
      </c>
      <c r="G105" s="49"/>
      <c r="H105" s="49"/>
      <c r="I105" s="49" t="s">
        <v>133</v>
      </c>
      <c r="J105" s="65" t="s">
        <v>10</v>
      </c>
      <c r="K105" s="56"/>
    </row>
    <row r="106" spans="1:11" hidden="1" x14ac:dyDescent="0.25">
      <c r="A106" s="133" t="s">
        <v>202</v>
      </c>
      <c r="B106" s="134"/>
      <c r="C106" s="10"/>
      <c r="D106" s="10">
        <f>0.6+0.2</f>
        <v>0.8</v>
      </c>
      <c r="E106" s="10">
        <f>0.6+0.2</f>
        <v>0.8</v>
      </c>
      <c r="F106" s="10">
        <v>10</v>
      </c>
      <c r="G106" s="10"/>
      <c r="H106" s="15"/>
      <c r="I106" s="6">
        <f>ROUND(D106*E106*F106,2)</f>
        <v>6.4</v>
      </c>
      <c r="J106" s="151"/>
      <c r="K106" s="56"/>
    </row>
    <row r="107" spans="1:11" hidden="1" x14ac:dyDescent="0.25">
      <c r="A107" s="133" t="s">
        <v>203</v>
      </c>
      <c r="B107" s="134"/>
      <c r="C107" s="10" t="s">
        <v>204</v>
      </c>
      <c r="D107" s="10">
        <f>3.72+3.72+(2.24*8)</f>
        <v>25.360000000000003</v>
      </c>
      <c r="E107" s="10">
        <f>0.14</f>
        <v>0.14000000000000001</v>
      </c>
      <c r="F107" s="10">
        <v>1</v>
      </c>
      <c r="G107" s="10"/>
      <c r="H107" s="15"/>
      <c r="I107" s="6">
        <f>ROUND(D107*E107*F107,2)</f>
        <v>3.55</v>
      </c>
      <c r="J107" s="146"/>
      <c r="K107" s="56"/>
    </row>
    <row r="108" spans="1:11" hidden="1" x14ac:dyDescent="0.25">
      <c r="A108" s="130" t="s">
        <v>11</v>
      </c>
      <c r="B108" s="131"/>
      <c r="C108" s="131"/>
      <c r="D108" s="131"/>
      <c r="E108" s="131"/>
      <c r="F108" s="131"/>
      <c r="G108" s="131"/>
      <c r="H108" s="132"/>
      <c r="I108" s="8">
        <f>ROUND(SUM(I106:I107),2)</f>
        <v>9.9499999999999993</v>
      </c>
      <c r="J108" s="147"/>
      <c r="K108" s="56"/>
    </row>
    <row r="109" spans="1:11" hidden="1" x14ac:dyDescent="0.25">
      <c r="A109" s="148"/>
      <c r="B109" s="149"/>
      <c r="C109" s="149"/>
      <c r="D109" s="149"/>
      <c r="E109" s="149"/>
      <c r="F109" s="149"/>
      <c r="G109" s="149"/>
      <c r="H109" s="149"/>
      <c r="I109" s="149"/>
      <c r="J109" s="150"/>
      <c r="K109" s="56"/>
    </row>
    <row r="110" spans="1:11" ht="15" hidden="1" customHeight="1" x14ac:dyDescent="0.25">
      <c r="A110" s="63" t="s">
        <v>3</v>
      </c>
      <c r="B110" s="95" t="s">
        <v>164</v>
      </c>
      <c r="C110" s="138" t="s">
        <v>172</v>
      </c>
      <c r="D110" s="139"/>
      <c r="E110" s="139"/>
      <c r="F110" s="139"/>
      <c r="G110" s="139"/>
      <c r="H110" s="139"/>
      <c r="I110" s="139"/>
      <c r="J110" s="140"/>
    </row>
    <row r="111" spans="1:11" ht="15" hidden="1" customHeight="1" x14ac:dyDescent="0.25">
      <c r="A111" s="63" t="s">
        <v>4</v>
      </c>
      <c r="B111" s="4">
        <v>94974</v>
      </c>
      <c r="C111" s="141"/>
      <c r="D111" s="142"/>
      <c r="E111" s="142"/>
      <c r="F111" s="142"/>
      <c r="G111" s="142"/>
      <c r="H111" s="142"/>
      <c r="I111" s="142"/>
      <c r="J111" s="143"/>
    </row>
    <row r="112" spans="1:11" ht="15" hidden="1" customHeight="1" x14ac:dyDescent="0.25">
      <c r="A112" s="152" t="s">
        <v>132</v>
      </c>
      <c r="B112" s="153"/>
      <c r="C112" s="49" t="s">
        <v>61</v>
      </c>
      <c r="D112" s="50" t="s">
        <v>133</v>
      </c>
      <c r="E112" s="53" t="s">
        <v>13</v>
      </c>
      <c r="F112" s="54" t="s">
        <v>8</v>
      </c>
      <c r="G112" s="53"/>
      <c r="H112" s="53"/>
      <c r="I112" s="49" t="s">
        <v>181</v>
      </c>
      <c r="J112" s="65" t="s">
        <v>10</v>
      </c>
    </row>
    <row r="113" spans="1:10" ht="15" hidden="1" customHeight="1" x14ac:dyDescent="0.25">
      <c r="A113" s="133" t="s">
        <v>202</v>
      </c>
      <c r="B113" s="134"/>
      <c r="C113" s="10"/>
      <c r="D113" s="10">
        <f>I106</f>
        <v>6.4</v>
      </c>
      <c r="E113" s="10">
        <v>0.05</v>
      </c>
      <c r="F113" s="10">
        <v>1</v>
      </c>
      <c r="G113" s="19"/>
      <c r="H113" s="58"/>
      <c r="I113" s="6">
        <f>ROUND(D113*E113*F113,2)</f>
        <v>0.32</v>
      </c>
      <c r="J113" s="151"/>
    </row>
    <row r="114" spans="1:10" ht="15" hidden="1" customHeight="1" x14ac:dyDescent="0.25">
      <c r="A114" s="133" t="s">
        <v>203</v>
      </c>
      <c r="B114" s="134"/>
      <c r="C114" s="10"/>
      <c r="D114" s="10">
        <f>I107</f>
        <v>3.55</v>
      </c>
      <c r="E114" s="10">
        <v>0.05</v>
      </c>
      <c r="F114" s="10">
        <v>1</v>
      </c>
      <c r="G114" s="19"/>
      <c r="H114" s="58"/>
      <c r="I114" s="6">
        <f>ROUND(D114*E114*F114,2)</f>
        <v>0.18</v>
      </c>
      <c r="J114" s="146"/>
    </row>
    <row r="115" spans="1:10" ht="15" hidden="1" customHeight="1" x14ac:dyDescent="0.25">
      <c r="A115" s="130" t="s">
        <v>11</v>
      </c>
      <c r="B115" s="131"/>
      <c r="C115" s="131"/>
      <c r="D115" s="131"/>
      <c r="E115" s="131"/>
      <c r="F115" s="131"/>
      <c r="G115" s="131"/>
      <c r="H115" s="132"/>
      <c r="I115" s="8">
        <f>ROUND(SUM(I113:I114),2)</f>
        <v>0.5</v>
      </c>
      <c r="J115" s="147"/>
    </row>
    <row r="116" spans="1:10" ht="15" hidden="1" customHeight="1" x14ac:dyDescent="0.25">
      <c r="A116" s="148"/>
      <c r="B116" s="149"/>
      <c r="C116" s="149"/>
      <c r="D116" s="149"/>
      <c r="E116" s="149"/>
      <c r="F116" s="149"/>
      <c r="G116" s="149"/>
      <c r="H116" s="149"/>
      <c r="I116" s="149"/>
      <c r="J116" s="150"/>
    </row>
    <row r="117" spans="1:10" ht="15" hidden="1" customHeight="1" x14ac:dyDescent="0.25">
      <c r="A117" s="63" t="s">
        <v>3</v>
      </c>
      <c r="B117" s="95" t="s">
        <v>165</v>
      </c>
      <c r="C117" s="138" t="s">
        <v>173</v>
      </c>
      <c r="D117" s="139"/>
      <c r="E117" s="139"/>
      <c r="F117" s="139"/>
      <c r="G117" s="139"/>
      <c r="H117" s="139"/>
      <c r="I117" s="139"/>
      <c r="J117" s="140"/>
    </row>
    <row r="118" spans="1:10" ht="15" hidden="1" customHeight="1" x14ac:dyDescent="0.25">
      <c r="A118" s="63" t="s">
        <v>4</v>
      </c>
      <c r="B118" s="4">
        <v>96541</v>
      </c>
      <c r="C118" s="141"/>
      <c r="D118" s="142"/>
      <c r="E118" s="142"/>
      <c r="F118" s="142"/>
      <c r="G118" s="142"/>
      <c r="H118" s="142"/>
      <c r="I118" s="142"/>
      <c r="J118" s="143"/>
    </row>
    <row r="119" spans="1:10" hidden="1" x14ac:dyDescent="0.25">
      <c r="A119" s="152" t="s">
        <v>132</v>
      </c>
      <c r="B119" s="153"/>
      <c r="C119" s="49" t="s">
        <v>61</v>
      </c>
      <c r="D119" s="50" t="s">
        <v>12</v>
      </c>
      <c r="E119" s="50" t="s">
        <v>205</v>
      </c>
      <c r="F119" s="54" t="s">
        <v>206</v>
      </c>
      <c r="G119" s="54" t="s">
        <v>8</v>
      </c>
      <c r="H119" s="53"/>
      <c r="I119" s="49" t="s">
        <v>133</v>
      </c>
      <c r="J119" s="65" t="s">
        <v>10</v>
      </c>
    </row>
    <row r="120" spans="1:10" ht="15" hidden="1" customHeight="1" x14ac:dyDescent="0.25">
      <c r="A120" s="133" t="s">
        <v>202</v>
      </c>
      <c r="B120" s="134"/>
      <c r="C120" s="10"/>
      <c r="D120" s="6">
        <v>0.6</v>
      </c>
      <c r="E120" s="6">
        <v>0.6</v>
      </c>
      <c r="F120" s="6">
        <v>4</v>
      </c>
      <c r="G120" s="11">
        <v>10</v>
      </c>
      <c r="H120" s="11"/>
      <c r="I120" s="6">
        <f>ROUND(D120*E120*F120*G120,2)</f>
        <v>14.4</v>
      </c>
      <c r="J120" s="151"/>
    </row>
    <row r="121" spans="1:10" ht="15" hidden="1" customHeight="1" x14ac:dyDescent="0.25">
      <c r="A121" s="133" t="s">
        <v>203</v>
      </c>
      <c r="B121" s="134"/>
      <c r="C121" s="10"/>
      <c r="D121" s="6">
        <f>D107</f>
        <v>25.360000000000003</v>
      </c>
      <c r="E121" s="6">
        <v>0.14000000000000001</v>
      </c>
      <c r="F121" s="6">
        <v>2</v>
      </c>
      <c r="G121" s="11">
        <v>1</v>
      </c>
      <c r="H121" s="11"/>
      <c r="I121" s="6">
        <f>ROUND(D121*E121*F121*G121,2)</f>
        <v>7.1</v>
      </c>
      <c r="J121" s="146"/>
    </row>
    <row r="122" spans="1:10" ht="15" hidden="1" customHeight="1" x14ac:dyDescent="0.25">
      <c r="A122" s="130" t="s">
        <v>11</v>
      </c>
      <c r="B122" s="131"/>
      <c r="C122" s="131"/>
      <c r="D122" s="131"/>
      <c r="E122" s="131"/>
      <c r="F122" s="131"/>
      <c r="G122" s="131"/>
      <c r="H122" s="132"/>
      <c r="I122" s="8">
        <f>ROUND(SUM(I120:I121),2)</f>
        <v>21.5</v>
      </c>
      <c r="J122" s="147"/>
    </row>
    <row r="123" spans="1:10" ht="15" hidden="1" customHeight="1" x14ac:dyDescent="0.25">
      <c r="A123" s="148"/>
      <c r="B123" s="149"/>
      <c r="C123" s="149"/>
      <c r="D123" s="149"/>
      <c r="E123" s="149"/>
      <c r="F123" s="149"/>
      <c r="G123" s="149"/>
      <c r="H123" s="149"/>
      <c r="I123" s="149"/>
      <c r="J123" s="150"/>
    </row>
    <row r="124" spans="1:10" ht="15" hidden="1" customHeight="1" x14ac:dyDescent="0.25">
      <c r="A124" s="63" t="s">
        <v>3</v>
      </c>
      <c r="B124" s="95" t="s">
        <v>166</v>
      </c>
      <c r="C124" s="138" t="s">
        <v>175</v>
      </c>
      <c r="D124" s="139"/>
      <c r="E124" s="139"/>
      <c r="F124" s="139"/>
      <c r="G124" s="139"/>
      <c r="H124" s="139"/>
      <c r="I124" s="139"/>
      <c r="J124" s="140"/>
    </row>
    <row r="125" spans="1:10" ht="15" hidden="1" customHeight="1" x14ac:dyDescent="0.25">
      <c r="A125" s="63" t="s">
        <v>4</v>
      </c>
      <c r="B125" s="4" t="s">
        <v>174</v>
      </c>
      <c r="C125" s="141"/>
      <c r="D125" s="142"/>
      <c r="E125" s="142"/>
      <c r="F125" s="142"/>
      <c r="G125" s="142"/>
      <c r="H125" s="142"/>
      <c r="I125" s="142"/>
      <c r="J125" s="143"/>
    </row>
    <row r="126" spans="1:10" ht="15" hidden="1" customHeight="1" x14ac:dyDescent="0.25">
      <c r="A126" s="152" t="s">
        <v>132</v>
      </c>
      <c r="B126" s="153"/>
      <c r="C126" s="49" t="s">
        <v>61</v>
      </c>
      <c r="D126" s="50" t="s">
        <v>183</v>
      </c>
      <c r="E126" s="53"/>
      <c r="F126" s="53"/>
      <c r="G126" s="53"/>
      <c r="H126" s="53"/>
      <c r="I126" s="50" t="s">
        <v>183</v>
      </c>
      <c r="J126" s="65" t="s">
        <v>10</v>
      </c>
    </row>
    <row r="127" spans="1:10" ht="15" hidden="1" customHeight="1" x14ac:dyDescent="0.25">
      <c r="A127" s="133" t="s">
        <v>202</v>
      </c>
      <c r="B127" s="134"/>
      <c r="C127" s="10" t="s">
        <v>184</v>
      </c>
      <c r="D127" s="10">
        <v>77.97</v>
      </c>
      <c r="E127" s="10"/>
      <c r="F127" s="10"/>
      <c r="G127" s="19"/>
      <c r="H127" s="58"/>
      <c r="I127" s="13">
        <f>D127</f>
        <v>77.97</v>
      </c>
      <c r="J127" s="151"/>
    </row>
    <row r="128" spans="1:10" ht="15" hidden="1" customHeight="1" x14ac:dyDescent="0.25">
      <c r="A128" s="130" t="s">
        <v>11</v>
      </c>
      <c r="B128" s="131"/>
      <c r="C128" s="131"/>
      <c r="D128" s="131"/>
      <c r="E128" s="131"/>
      <c r="F128" s="131"/>
      <c r="G128" s="131"/>
      <c r="H128" s="132"/>
      <c r="I128" s="8">
        <f>ROUND(SUM(I127:I127),2)</f>
        <v>77.97</v>
      </c>
      <c r="J128" s="147"/>
    </row>
    <row r="129" spans="1:10" ht="15" hidden="1" customHeight="1" x14ac:dyDescent="0.25">
      <c r="A129" s="148"/>
      <c r="B129" s="149"/>
      <c r="C129" s="149"/>
      <c r="D129" s="149"/>
      <c r="E129" s="149"/>
      <c r="F129" s="149"/>
      <c r="G129" s="149"/>
      <c r="H129" s="149"/>
      <c r="I129" s="149"/>
      <c r="J129" s="150"/>
    </row>
    <row r="130" spans="1:10" ht="15" hidden="1" customHeight="1" x14ac:dyDescent="0.25">
      <c r="A130" s="63" t="s">
        <v>3</v>
      </c>
      <c r="B130" s="95" t="s">
        <v>167</v>
      </c>
      <c r="C130" s="138" t="s">
        <v>176</v>
      </c>
      <c r="D130" s="139"/>
      <c r="E130" s="139"/>
      <c r="F130" s="139"/>
      <c r="G130" s="139"/>
      <c r="H130" s="139"/>
      <c r="I130" s="139"/>
      <c r="J130" s="140"/>
    </row>
    <row r="131" spans="1:10" ht="15" hidden="1" customHeight="1" x14ac:dyDescent="0.25">
      <c r="A131" s="63" t="s">
        <v>4</v>
      </c>
      <c r="B131" s="4">
        <v>92800</v>
      </c>
      <c r="C131" s="141"/>
      <c r="D131" s="142"/>
      <c r="E131" s="142"/>
      <c r="F131" s="142"/>
      <c r="G131" s="142"/>
      <c r="H131" s="142"/>
      <c r="I131" s="142"/>
      <c r="J131" s="143"/>
    </row>
    <row r="132" spans="1:10" ht="15" hidden="1" customHeight="1" x14ac:dyDescent="0.25">
      <c r="A132" s="152" t="s">
        <v>132</v>
      </c>
      <c r="B132" s="153"/>
      <c r="C132" s="49" t="s">
        <v>61</v>
      </c>
      <c r="D132" s="50" t="s">
        <v>183</v>
      </c>
      <c r="E132" s="53"/>
      <c r="F132" s="53"/>
      <c r="G132" s="53"/>
      <c r="H132" s="53"/>
      <c r="I132" s="50" t="s">
        <v>183</v>
      </c>
      <c r="J132" s="65" t="s">
        <v>10</v>
      </c>
    </row>
    <row r="133" spans="1:10" ht="15" hidden="1" customHeight="1" x14ac:dyDescent="0.25">
      <c r="A133" s="133" t="s">
        <v>202</v>
      </c>
      <c r="B133" s="134"/>
      <c r="C133" s="10" t="s">
        <v>184</v>
      </c>
      <c r="D133" s="10">
        <v>30.42</v>
      </c>
      <c r="E133" s="10"/>
      <c r="F133" s="10"/>
      <c r="G133" s="19"/>
      <c r="H133" s="58"/>
      <c r="I133" s="13">
        <f>D133</f>
        <v>30.42</v>
      </c>
      <c r="J133" s="151"/>
    </row>
    <row r="134" spans="1:10" ht="15" hidden="1" customHeight="1" x14ac:dyDescent="0.25">
      <c r="A134" s="130" t="s">
        <v>11</v>
      </c>
      <c r="B134" s="131"/>
      <c r="C134" s="131"/>
      <c r="D134" s="131"/>
      <c r="E134" s="131"/>
      <c r="F134" s="131"/>
      <c r="G134" s="131"/>
      <c r="H134" s="132"/>
      <c r="I134" s="8">
        <f>ROUND(SUM(I133:I133),2)</f>
        <v>30.42</v>
      </c>
      <c r="J134" s="147"/>
    </row>
    <row r="135" spans="1:10" ht="15" hidden="1" customHeight="1" x14ac:dyDescent="0.25">
      <c r="A135" s="148"/>
      <c r="B135" s="149"/>
      <c r="C135" s="149"/>
      <c r="D135" s="149"/>
      <c r="E135" s="149"/>
      <c r="F135" s="149"/>
      <c r="G135" s="149"/>
      <c r="H135" s="149"/>
      <c r="I135" s="149"/>
      <c r="J135" s="150"/>
    </row>
    <row r="136" spans="1:10" ht="15" hidden="1" customHeight="1" x14ac:dyDescent="0.25">
      <c r="A136" s="63" t="s">
        <v>3</v>
      </c>
      <c r="B136" s="95" t="s">
        <v>168</v>
      </c>
      <c r="C136" s="138" t="s">
        <v>177</v>
      </c>
      <c r="D136" s="139"/>
      <c r="E136" s="139"/>
      <c r="F136" s="139"/>
      <c r="G136" s="139"/>
      <c r="H136" s="139"/>
      <c r="I136" s="139"/>
      <c r="J136" s="140"/>
    </row>
    <row r="137" spans="1:10" ht="15" hidden="1" customHeight="1" x14ac:dyDescent="0.25">
      <c r="A137" s="63" t="s">
        <v>4</v>
      </c>
      <c r="B137" s="4">
        <v>94971</v>
      </c>
      <c r="C137" s="141"/>
      <c r="D137" s="142"/>
      <c r="E137" s="142"/>
      <c r="F137" s="142"/>
      <c r="G137" s="142"/>
      <c r="H137" s="142"/>
      <c r="I137" s="142"/>
      <c r="J137" s="143"/>
    </row>
    <row r="138" spans="1:10" ht="15" hidden="1" customHeight="1" x14ac:dyDescent="0.25">
      <c r="A138" s="152" t="s">
        <v>132</v>
      </c>
      <c r="B138" s="153"/>
      <c r="C138" s="49" t="s">
        <v>61</v>
      </c>
      <c r="D138" s="50" t="s">
        <v>133</v>
      </c>
      <c r="E138" s="53" t="s">
        <v>136</v>
      </c>
      <c r="F138" s="54" t="s">
        <v>8</v>
      </c>
      <c r="G138" s="53"/>
      <c r="H138" s="53"/>
      <c r="I138" s="49" t="s">
        <v>181</v>
      </c>
      <c r="J138" s="65" t="s">
        <v>10</v>
      </c>
    </row>
    <row r="139" spans="1:10" ht="15" hidden="1" customHeight="1" x14ac:dyDescent="0.25">
      <c r="A139" s="133" t="s">
        <v>202</v>
      </c>
      <c r="B139" s="134"/>
      <c r="C139" s="10"/>
      <c r="D139" s="10">
        <f>0.6*0.6</f>
        <v>0.36</v>
      </c>
      <c r="E139" s="10">
        <v>1.1000000000000001</v>
      </c>
      <c r="F139" s="10">
        <v>10</v>
      </c>
      <c r="G139" s="19"/>
      <c r="H139" s="58"/>
      <c r="I139" s="6">
        <f>ROUND(D139*E139*F139,2)</f>
        <v>3.96</v>
      </c>
      <c r="J139" s="151"/>
    </row>
    <row r="140" spans="1:10" ht="15" hidden="1" customHeight="1" x14ac:dyDescent="0.25">
      <c r="A140" s="130" t="s">
        <v>11</v>
      </c>
      <c r="B140" s="131"/>
      <c r="C140" s="131"/>
      <c r="D140" s="131"/>
      <c r="E140" s="131"/>
      <c r="F140" s="131"/>
      <c r="G140" s="131"/>
      <c r="H140" s="132"/>
      <c r="I140" s="8">
        <f>ROUND(SUM(I139:I139),2)</f>
        <v>3.96</v>
      </c>
      <c r="J140" s="147"/>
    </row>
    <row r="141" spans="1:10" ht="15" hidden="1" customHeight="1" x14ac:dyDescent="0.25">
      <c r="A141" s="148"/>
      <c r="B141" s="149"/>
      <c r="C141" s="149"/>
      <c r="D141" s="149"/>
      <c r="E141" s="149"/>
      <c r="F141" s="149"/>
      <c r="G141" s="149"/>
      <c r="H141" s="149"/>
      <c r="I141" s="149"/>
      <c r="J141" s="150"/>
    </row>
    <row r="142" spans="1:10" hidden="1" x14ac:dyDescent="0.25">
      <c r="A142" s="158" t="s">
        <v>103</v>
      </c>
      <c r="B142" s="159"/>
      <c r="C142" s="159"/>
      <c r="D142" s="159"/>
      <c r="E142" s="159"/>
      <c r="F142" s="159"/>
      <c r="G142" s="159"/>
      <c r="H142" s="159"/>
      <c r="I142" s="159"/>
      <c r="J142" s="160"/>
    </row>
    <row r="143" spans="1:10" ht="13.5" hidden="1" customHeight="1" x14ac:dyDescent="0.25">
      <c r="A143" s="135"/>
      <c r="B143" s="136"/>
      <c r="C143" s="136"/>
      <c r="D143" s="136"/>
      <c r="E143" s="136"/>
      <c r="F143" s="136"/>
      <c r="G143" s="136"/>
      <c r="H143" s="136"/>
      <c r="I143" s="136"/>
      <c r="J143" s="137"/>
    </row>
    <row r="144" spans="1:10" ht="15" hidden="1" customHeight="1" x14ac:dyDescent="0.25">
      <c r="A144" s="63" t="s">
        <v>3</v>
      </c>
      <c r="B144" s="95" t="s">
        <v>104</v>
      </c>
      <c r="C144" s="161" t="s">
        <v>106</v>
      </c>
      <c r="D144" s="162"/>
      <c r="E144" s="162"/>
      <c r="F144" s="162"/>
      <c r="G144" s="162"/>
      <c r="H144" s="162"/>
      <c r="I144" s="162"/>
      <c r="J144" s="163"/>
    </row>
    <row r="145" spans="1:18" hidden="1" x14ac:dyDescent="0.25">
      <c r="A145" s="63" t="s">
        <v>4</v>
      </c>
      <c r="B145" s="4">
        <v>87372</v>
      </c>
      <c r="C145" s="164"/>
      <c r="D145" s="165"/>
      <c r="E145" s="165"/>
      <c r="F145" s="165"/>
      <c r="G145" s="165"/>
      <c r="H145" s="165"/>
      <c r="I145" s="165"/>
      <c r="J145" s="166"/>
    </row>
    <row r="146" spans="1:18" ht="28.5" hidden="1" x14ac:dyDescent="0.25">
      <c r="A146" s="124" t="s">
        <v>132</v>
      </c>
      <c r="B146" s="125"/>
      <c r="C146" s="53" t="s">
        <v>61</v>
      </c>
      <c r="D146" s="50" t="s">
        <v>133</v>
      </c>
      <c r="E146" s="50" t="s">
        <v>13</v>
      </c>
      <c r="F146" s="54" t="s">
        <v>8</v>
      </c>
      <c r="G146" s="54"/>
      <c r="H146" s="49"/>
      <c r="I146" s="49" t="s">
        <v>14</v>
      </c>
      <c r="J146" s="65" t="s">
        <v>10</v>
      </c>
      <c r="K146" s="56"/>
      <c r="R146" s="56"/>
    </row>
    <row r="147" spans="1:18" hidden="1" x14ac:dyDescent="0.25">
      <c r="A147" s="144" t="s">
        <v>143</v>
      </c>
      <c r="B147" s="145"/>
      <c r="C147" s="16" t="s">
        <v>144</v>
      </c>
      <c r="D147" s="10">
        <v>36.72</v>
      </c>
      <c r="E147" s="10">
        <v>0.03</v>
      </c>
      <c r="F147" s="10">
        <v>1</v>
      </c>
      <c r="G147" s="10"/>
      <c r="H147" s="15"/>
      <c r="I147" s="6">
        <f>ROUND(D147*E147*F147,2)</f>
        <v>1.1000000000000001</v>
      </c>
      <c r="J147" s="146"/>
      <c r="K147" s="56"/>
    </row>
    <row r="148" spans="1:18" hidden="1" x14ac:dyDescent="0.25">
      <c r="A148" s="130" t="s">
        <v>11</v>
      </c>
      <c r="B148" s="131"/>
      <c r="C148" s="131"/>
      <c r="D148" s="131"/>
      <c r="E148" s="131"/>
      <c r="F148" s="131"/>
      <c r="G148" s="131"/>
      <c r="H148" s="132"/>
      <c r="I148" s="8">
        <f>ROUND(SUM(I147:I147),2)</f>
        <v>1.1000000000000001</v>
      </c>
      <c r="J148" s="147"/>
      <c r="K148" s="56"/>
    </row>
    <row r="149" spans="1:18" hidden="1" x14ac:dyDescent="0.25">
      <c r="A149" s="135"/>
      <c r="B149" s="136"/>
      <c r="C149" s="136"/>
      <c r="D149" s="136"/>
      <c r="E149" s="136"/>
      <c r="F149" s="136"/>
      <c r="G149" s="136"/>
      <c r="H149" s="136"/>
      <c r="I149" s="136"/>
      <c r="J149" s="137"/>
    </row>
    <row r="150" spans="1:18" ht="15" hidden="1" customHeight="1" x14ac:dyDescent="0.25">
      <c r="A150" s="63" t="s">
        <v>3</v>
      </c>
      <c r="B150" s="95" t="s">
        <v>105</v>
      </c>
      <c r="C150" s="138" t="s">
        <v>107</v>
      </c>
      <c r="D150" s="139"/>
      <c r="E150" s="139"/>
      <c r="F150" s="139"/>
      <c r="G150" s="139"/>
      <c r="H150" s="139"/>
      <c r="I150" s="139"/>
      <c r="J150" s="140"/>
    </row>
    <row r="151" spans="1:18" hidden="1" x14ac:dyDescent="0.25">
      <c r="A151" s="63" t="s">
        <v>4</v>
      </c>
      <c r="B151" s="4">
        <v>94990</v>
      </c>
      <c r="C151" s="141"/>
      <c r="D151" s="142"/>
      <c r="E151" s="142"/>
      <c r="F151" s="142"/>
      <c r="G151" s="142"/>
      <c r="H151" s="142"/>
      <c r="I151" s="142"/>
      <c r="J151" s="143"/>
    </row>
    <row r="152" spans="1:18" ht="28.5" hidden="1" x14ac:dyDescent="0.25">
      <c r="A152" s="124" t="s">
        <v>132</v>
      </c>
      <c r="B152" s="125"/>
      <c r="C152" s="53" t="s">
        <v>61</v>
      </c>
      <c r="D152" s="50" t="s">
        <v>133</v>
      </c>
      <c r="E152" s="50" t="s">
        <v>13</v>
      </c>
      <c r="F152" s="54" t="s">
        <v>8</v>
      </c>
      <c r="G152" s="54"/>
      <c r="H152" s="49"/>
      <c r="I152" s="49" t="s">
        <v>14</v>
      </c>
      <c r="J152" s="65" t="s">
        <v>10</v>
      </c>
      <c r="K152" s="56"/>
      <c r="R152" s="56"/>
    </row>
    <row r="153" spans="1:18" hidden="1" x14ac:dyDescent="0.25">
      <c r="A153" s="144" t="s">
        <v>143</v>
      </c>
      <c r="B153" s="145"/>
      <c r="C153" s="16" t="s">
        <v>144</v>
      </c>
      <c r="D153" s="10">
        <v>36.72</v>
      </c>
      <c r="E153" s="10">
        <v>0.06</v>
      </c>
      <c r="F153" s="10">
        <v>1</v>
      </c>
      <c r="G153" s="10"/>
      <c r="H153" s="15"/>
      <c r="I153" s="6">
        <f>ROUND(D153*E153*F153,2)</f>
        <v>2.2000000000000002</v>
      </c>
      <c r="J153" s="146"/>
      <c r="K153" s="56"/>
    </row>
    <row r="154" spans="1:18" hidden="1" x14ac:dyDescent="0.25">
      <c r="A154" s="130" t="s">
        <v>11</v>
      </c>
      <c r="B154" s="131"/>
      <c r="C154" s="131"/>
      <c r="D154" s="131"/>
      <c r="E154" s="131"/>
      <c r="F154" s="131"/>
      <c r="G154" s="131"/>
      <c r="H154" s="132"/>
      <c r="I154" s="8">
        <f>ROUND(SUM(I153:I153),2)</f>
        <v>2.2000000000000002</v>
      </c>
      <c r="J154" s="147"/>
      <c r="K154" s="56"/>
    </row>
    <row r="155" spans="1:18" hidden="1" x14ac:dyDescent="0.25">
      <c r="A155" s="135"/>
      <c r="B155" s="136"/>
      <c r="C155" s="136"/>
      <c r="D155" s="136"/>
      <c r="E155" s="136"/>
      <c r="F155" s="136"/>
      <c r="G155" s="136"/>
      <c r="H155" s="136"/>
      <c r="I155" s="136"/>
      <c r="J155" s="137"/>
    </row>
    <row r="156" spans="1:18" hidden="1" x14ac:dyDescent="0.25">
      <c r="A156" s="63" t="s">
        <v>3</v>
      </c>
      <c r="B156" s="95" t="s">
        <v>185</v>
      </c>
      <c r="C156" s="138" t="s">
        <v>190</v>
      </c>
      <c r="D156" s="139"/>
      <c r="E156" s="139"/>
      <c r="F156" s="139"/>
      <c r="G156" s="139"/>
      <c r="H156" s="139"/>
      <c r="I156" s="139"/>
      <c r="J156" s="140"/>
    </row>
    <row r="157" spans="1:18" hidden="1" x14ac:dyDescent="0.25">
      <c r="A157" s="63" t="s">
        <v>4</v>
      </c>
      <c r="B157" s="4" t="s">
        <v>189</v>
      </c>
      <c r="C157" s="141"/>
      <c r="D157" s="142"/>
      <c r="E157" s="142"/>
      <c r="F157" s="142"/>
      <c r="G157" s="142"/>
      <c r="H157" s="142"/>
      <c r="I157" s="142"/>
      <c r="J157" s="143"/>
    </row>
    <row r="158" spans="1:18" hidden="1" x14ac:dyDescent="0.25">
      <c r="A158" s="124" t="s">
        <v>132</v>
      </c>
      <c r="B158" s="125"/>
      <c r="C158" s="53" t="s">
        <v>61</v>
      </c>
      <c r="D158" s="50" t="s">
        <v>6</v>
      </c>
      <c r="E158" s="50" t="s">
        <v>136</v>
      </c>
      <c r="F158" s="54" t="s">
        <v>8</v>
      </c>
      <c r="G158" s="54"/>
      <c r="H158" s="49"/>
      <c r="I158" s="49" t="s">
        <v>195</v>
      </c>
      <c r="J158" s="65" t="s">
        <v>10</v>
      </c>
    </row>
    <row r="159" spans="1:18" hidden="1" x14ac:dyDescent="0.25">
      <c r="A159" s="144" t="s">
        <v>207</v>
      </c>
      <c r="B159" s="145"/>
      <c r="C159" s="16" t="s">
        <v>208</v>
      </c>
      <c r="D159" s="10">
        <f>10+1.76+1.76+0.96+0.96+0.5+7.5</f>
        <v>23.44</v>
      </c>
      <c r="E159" s="10">
        <v>1.1000000000000001</v>
      </c>
      <c r="F159" s="10">
        <v>1</v>
      </c>
      <c r="G159" s="10"/>
      <c r="H159" s="15"/>
      <c r="I159" s="6">
        <f>ROUND(D159*E159*F159,2)</f>
        <v>25.78</v>
      </c>
      <c r="J159" s="146"/>
    </row>
    <row r="160" spans="1:18" hidden="1" x14ac:dyDescent="0.25">
      <c r="A160" s="130" t="s">
        <v>11</v>
      </c>
      <c r="B160" s="131"/>
      <c r="C160" s="131"/>
      <c r="D160" s="131"/>
      <c r="E160" s="131"/>
      <c r="F160" s="131"/>
      <c r="G160" s="131"/>
      <c r="H160" s="132"/>
      <c r="I160" s="8">
        <f>ROUND(SUM(I159:I159),2)</f>
        <v>25.78</v>
      </c>
      <c r="J160" s="147"/>
    </row>
    <row r="161" spans="1:10" hidden="1" x14ac:dyDescent="0.25">
      <c r="A161" s="135"/>
      <c r="B161" s="136"/>
      <c r="C161" s="136"/>
      <c r="D161" s="136"/>
      <c r="E161" s="136"/>
      <c r="F161" s="136"/>
      <c r="G161" s="136"/>
      <c r="H161" s="136"/>
      <c r="I161" s="136"/>
      <c r="J161" s="137"/>
    </row>
    <row r="162" spans="1:10" hidden="1" x14ac:dyDescent="0.25">
      <c r="A162" s="63" t="s">
        <v>3</v>
      </c>
      <c r="B162" s="95" t="s">
        <v>186</v>
      </c>
      <c r="C162" s="138" t="s">
        <v>191</v>
      </c>
      <c r="D162" s="139"/>
      <c r="E162" s="139"/>
      <c r="F162" s="139"/>
      <c r="G162" s="139"/>
      <c r="H162" s="139"/>
      <c r="I162" s="139"/>
      <c r="J162" s="140"/>
    </row>
    <row r="163" spans="1:10" hidden="1" x14ac:dyDescent="0.25">
      <c r="A163" s="63" t="s">
        <v>4</v>
      </c>
      <c r="B163" s="4">
        <v>87894</v>
      </c>
      <c r="C163" s="141"/>
      <c r="D163" s="142"/>
      <c r="E163" s="142"/>
      <c r="F163" s="142"/>
      <c r="G163" s="142"/>
      <c r="H163" s="142"/>
      <c r="I163" s="142"/>
      <c r="J163" s="143"/>
    </row>
    <row r="164" spans="1:10" hidden="1" x14ac:dyDescent="0.25">
      <c r="A164" s="124" t="s">
        <v>132</v>
      </c>
      <c r="B164" s="125"/>
      <c r="C164" s="53" t="s">
        <v>61</v>
      </c>
      <c r="D164" s="50" t="s">
        <v>6</v>
      </c>
      <c r="E164" s="50" t="s">
        <v>136</v>
      </c>
      <c r="F164" s="54" t="s">
        <v>8</v>
      </c>
      <c r="G164" s="54"/>
      <c r="H164" s="49"/>
      <c r="I164" s="49" t="s">
        <v>195</v>
      </c>
      <c r="J164" s="65" t="s">
        <v>10</v>
      </c>
    </row>
    <row r="165" spans="1:10" ht="30" hidden="1" x14ac:dyDescent="0.25">
      <c r="A165" s="144" t="s">
        <v>207</v>
      </c>
      <c r="B165" s="145"/>
      <c r="C165" s="16" t="s">
        <v>209</v>
      </c>
      <c r="D165" s="10">
        <f>10+9.72+1.76+1.9+1.76+1.9+1.1+0.96+1.1+0.96+0.5+0.36+7.5+7.36+(0.14*6)</f>
        <v>47.720000000000006</v>
      </c>
      <c r="E165" s="10">
        <v>1.1000000000000001</v>
      </c>
      <c r="F165" s="10">
        <v>1</v>
      </c>
      <c r="G165" s="10"/>
      <c r="H165" s="15"/>
      <c r="I165" s="6">
        <f>ROUND(D165*E165*F165,2)</f>
        <v>52.49</v>
      </c>
      <c r="J165" s="146"/>
    </row>
    <row r="166" spans="1:10" hidden="1" x14ac:dyDescent="0.25">
      <c r="A166" s="130" t="s">
        <v>11</v>
      </c>
      <c r="B166" s="131"/>
      <c r="C166" s="131"/>
      <c r="D166" s="131"/>
      <c r="E166" s="131"/>
      <c r="F166" s="131"/>
      <c r="G166" s="131"/>
      <c r="H166" s="132"/>
      <c r="I166" s="8">
        <f>ROUND(SUM(I165:I165),2)</f>
        <v>52.49</v>
      </c>
      <c r="J166" s="147"/>
    </row>
    <row r="167" spans="1:10" hidden="1" x14ac:dyDescent="0.25">
      <c r="A167" s="135"/>
      <c r="B167" s="136"/>
      <c r="C167" s="136"/>
      <c r="D167" s="136"/>
      <c r="E167" s="136"/>
      <c r="F167" s="136"/>
      <c r="G167" s="136"/>
      <c r="H167" s="136"/>
      <c r="I167" s="136"/>
      <c r="J167" s="137"/>
    </row>
    <row r="168" spans="1:10" hidden="1" x14ac:dyDescent="0.25">
      <c r="A168" s="63" t="s">
        <v>3</v>
      </c>
      <c r="B168" s="95" t="s">
        <v>187</v>
      </c>
      <c r="C168" s="138" t="s">
        <v>193</v>
      </c>
      <c r="D168" s="139"/>
      <c r="E168" s="139"/>
      <c r="F168" s="139"/>
      <c r="G168" s="139"/>
      <c r="H168" s="139"/>
      <c r="I168" s="139"/>
      <c r="J168" s="140"/>
    </row>
    <row r="169" spans="1:10" hidden="1" x14ac:dyDescent="0.25">
      <c r="A169" s="63" t="s">
        <v>4</v>
      </c>
      <c r="B169" s="4" t="s">
        <v>192</v>
      </c>
      <c r="C169" s="141"/>
      <c r="D169" s="142"/>
      <c r="E169" s="142"/>
      <c r="F169" s="142"/>
      <c r="G169" s="142"/>
      <c r="H169" s="142"/>
      <c r="I169" s="142"/>
      <c r="J169" s="143"/>
    </row>
    <row r="170" spans="1:10" hidden="1" x14ac:dyDescent="0.25">
      <c r="A170" s="124" t="s">
        <v>132</v>
      </c>
      <c r="B170" s="125"/>
      <c r="C170" s="53" t="s">
        <v>61</v>
      </c>
      <c r="D170" s="50" t="s">
        <v>6</v>
      </c>
      <c r="E170" s="50" t="s">
        <v>136</v>
      </c>
      <c r="F170" s="54" t="s">
        <v>8</v>
      </c>
      <c r="G170" s="54"/>
      <c r="H170" s="49"/>
      <c r="I170" s="49" t="s">
        <v>195</v>
      </c>
      <c r="J170" s="65" t="s">
        <v>10</v>
      </c>
    </row>
    <row r="171" spans="1:10" ht="30" hidden="1" x14ac:dyDescent="0.25">
      <c r="A171" s="144" t="s">
        <v>207</v>
      </c>
      <c r="B171" s="145"/>
      <c r="C171" s="16" t="s">
        <v>209</v>
      </c>
      <c r="D171" s="10">
        <f>10+9.72+1.76+1.9+1.76+1.9+1.1+0.96+1.1+0.96+0.5+0.36+7.5+7.36+(0.14*6)</f>
        <v>47.720000000000006</v>
      </c>
      <c r="E171" s="10">
        <v>1.1000000000000001</v>
      </c>
      <c r="F171" s="10">
        <v>1</v>
      </c>
      <c r="G171" s="10"/>
      <c r="H171" s="15"/>
      <c r="I171" s="6">
        <f>ROUND(D171*E171*F171,2)</f>
        <v>52.49</v>
      </c>
      <c r="J171" s="146"/>
    </row>
    <row r="172" spans="1:10" hidden="1" x14ac:dyDescent="0.25">
      <c r="A172" s="130" t="s">
        <v>11</v>
      </c>
      <c r="B172" s="131"/>
      <c r="C172" s="131"/>
      <c r="D172" s="131"/>
      <c r="E172" s="131"/>
      <c r="F172" s="131"/>
      <c r="G172" s="131"/>
      <c r="H172" s="132"/>
      <c r="I172" s="8">
        <f>ROUND(SUM(I171:I171),2)</f>
        <v>52.49</v>
      </c>
      <c r="J172" s="147"/>
    </row>
    <row r="173" spans="1:10" hidden="1" x14ac:dyDescent="0.25">
      <c r="A173" s="135"/>
      <c r="B173" s="136"/>
      <c r="C173" s="136"/>
      <c r="D173" s="136"/>
      <c r="E173" s="136"/>
      <c r="F173" s="136"/>
      <c r="G173" s="136"/>
      <c r="H173" s="136"/>
      <c r="I173" s="136"/>
      <c r="J173" s="137"/>
    </row>
    <row r="174" spans="1:10" hidden="1" x14ac:dyDescent="0.25">
      <c r="A174" s="63" t="s">
        <v>3</v>
      </c>
      <c r="B174" s="95" t="s">
        <v>188</v>
      </c>
      <c r="C174" s="138" t="s">
        <v>194</v>
      </c>
      <c r="D174" s="139"/>
      <c r="E174" s="139"/>
      <c r="F174" s="139"/>
      <c r="G174" s="139"/>
      <c r="H174" s="139"/>
      <c r="I174" s="139"/>
      <c r="J174" s="140"/>
    </row>
    <row r="175" spans="1:10" hidden="1" x14ac:dyDescent="0.25">
      <c r="A175" s="63" t="s">
        <v>4</v>
      </c>
      <c r="B175" s="4">
        <v>88415</v>
      </c>
      <c r="C175" s="141"/>
      <c r="D175" s="142"/>
      <c r="E175" s="142"/>
      <c r="F175" s="142"/>
      <c r="G175" s="142"/>
      <c r="H175" s="142"/>
      <c r="I175" s="142"/>
      <c r="J175" s="143"/>
    </row>
    <row r="176" spans="1:10" hidden="1" x14ac:dyDescent="0.25">
      <c r="A176" s="124" t="s">
        <v>132</v>
      </c>
      <c r="B176" s="125"/>
      <c r="C176" s="53" t="s">
        <v>61</v>
      </c>
      <c r="D176" s="50" t="s">
        <v>6</v>
      </c>
      <c r="E176" s="50" t="s">
        <v>136</v>
      </c>
      <c r="F176" s="54" t="s">
        <v>8</v>
      </c>
      <c r="G176" s="54"/>
      <c r="H176" s="49"/>
      <c r="I176" s="49" t="s">
        <v>195</v>
      </c>
      <c r="J176" s="65" t="s">
        <v>10</v>
      </c>
    </row>
    <row r="177" spans="1:18" ht="30" hidden="1" x14ac:dyDescent="0.25">
      <c r="A177" s="144" t="s">
        <v>207</v>
      </c>
      <c r="B177" s="145"/>
      <c r="C177" s="16" t="s">
        <v>209</v>
      </c>
      <c r="D177" s="10">
        <f>10+9.72+1.76+1.9+1.76+1.9+1.1+0.96+1.1+0.96+0.5+0.36+7.5+7.36+(0.14*6)</f>
        <v>47.720000000000006</v>
      </c>
      <c r="E177" s="10">
        <v>1.1000000000000001</v>
      </c>
      <c r="F177" s="10">
        <v>1</v>
      </c>
      <c r="G177" s="10"/>
      <c r="H177" s="15"/>
      <c r="I177" s="6">
        <f>ROUND(D177*E177*F177,2)</f>
        <v>52.49</v>
      </c>
      <c r="J177" s="146"/>
    </row>
    <row r="178" spans="1:18" hidden="1" x14ac:dyDescent="0.25">
      <c r="A178" s="130" t="s">
        <v>11</v>
      </c>
      <c r="B178" s="131"/>
      <c r="C178" s="131"/>
      <c r="D178" s="131"/>
      <c r="E178" s="131"/>
      <c r="F178" s="131"/>
      <c r="G178" s="131"/>
      <c r="H178" s="132"/>
      <c r="I178" s="8">
        <f>ROUND(SUM(I177:I177),2)</f>
        <v>52.49</v>
      </c>
      <c r="J178" s="147"/>
    </row>
    <row r="179" spans="1:18" hidden="1" x14ac:dyDescent="0.25">
      <c r="A179" s="135"/>
      <c r="B179" s="136"/>
      <c r="C179" s="136"/>
      <c r="D179" s="136"/>
      <c r="E179" s="136"/>
      <c r="F179" s="136"/>
      <c r="G179" s="136"/>
      <c r="H179" s="136"/>
      <c r="I179" s="136"/>
      <c r="J179" s="137"/>
    </row>
    <row r="180" spans="1:18" hidden="1" x14ac:dyDescent="0.25">
      <c r="A180" s="158" t="s">
        <v>108</v>
      </c>
      <c r="B180" s="159"/>
      <c r="C180" s="159"/>
      <c r="D180" s="159"/>
      <c r="E180" s="159"/>
      <c r="F180" s="159"/>
      <c r="G180" s="159"/>
      <c r="H180" s="159"/>
      <c r="I180" s="159"/>
      <c r="J180" s="160"/>
    </row>
    <row r="181" spans="1:18" hidden="1" x14ac:dyDescent="0.25">
      <c r="A181" s="148"/>
      <c r="B181" s="149"/>
      <c r="C181" s="149"/>
      <c r="D181" s="149"/>
      <c r="E181" s="149"/>
      <c r="F181" s="149"/>
      <c r="G181" s="149"/>
      <c r="H181" s="149"/>
      <c r="I181" s="149"/>
      <c r="J181" s="150"/>
    </row>
    <row r="182" spans="1:18" ht="15" hidden="1" customHeight="1" x14ac:dyDescent="0.25">
      <c r="A182" s="63" t="s">
        <v>3</v>
      </c>
      <c r="B182" s="95" t="s">
        <v>113</v>
      </c>
      <c r="C182" s="118" t="s">
        <v>111</v>
      </c>
      <c r="D182" s="119"/>
      <c r="E182" s="119"/>
      <c r="F182" s="119"/>
      <c r="G182" s="119"/>
      <c r="H182" s="119"/>
      <c r="I182" s="119"/>
      <c r="J182" s="120"/>
    </row>
    <row r="183" spans="1:18" hidden="1" x14ac:dyDescent="0.25">
      <c r="A183" s="63" t="s">
        <v>4</v>
      </c>
      <c r="B183" s="4" t="s">
        <v>109</v>
      </c>
      <c r="C183" s="121"/>
      <c r="D183" s="122"/>
      <c r="E183" s="122"/>
      <c r="F183" s="122"/>
      <c r="G183" s="122"/>
      <c r="H183" s="122"/>
      <c r="I183" s="122"/>
      <c r="J183" s="123"/>
    </row>
    <row r="184" spans="1:18" ht="28.5" hidden="1" x14ac:dyDescent="0.25">
      <c r="A184" s="124" t="s">
        <v>132</v>
      </c>
      <c r="B184" s="125"/>
      <c r="C184" s="53" t="s">
        <v>61</v>
      </c>
      <c r="D184" s="50" t="s">
        <v>133</v>
      </c>
      <c r="E184" s="54" t="s">
        <v>8</v>
      </c>
      <c r="F184" s="54"/>
      <c r="G184" s="49"/>
      <c r="H184" s="49"/>
      <c r="I184" s="49" t="s">
        <v>9</v>
      </c>
      <c r="J184" s="65" t="s">
        <v>10</v>
      </c>
      <c r="K184" s="56"/>
      <c r="R184" s="56"/>
    </row>
    <row r="185" spans="1:18" hidden="1" x14ac:dyDescent="0.25">
      <c r="A185" s="212"/>
      <c r="B185" s="213"/>
      <c r="C185" s="16" t="s">
        <v>144</v>
      </c>
      <c r="D185" s="10">
        <v>46</v>
      </c>
      <c r="E185" s="10">
        <v>1</v>
      </c>
      <c r="F185" s="10"/>
      <c r="G185" s="10"/>
      <c r="H185" s="15"/>
      <c r="I185" s="6">
        <f>ROUND(D185*E185,2)</f>
        <v>46</v>
      </c>
      <c r="J185" s="146"/>
      <c r="K185" s="56"/>
    </row>
    <row r="186" spans="1:18" hidden="1" x14ac:dyDescent="0.25">
      <c r="A186" s="130" t="s">
        <v>11</v>
      </c>
      <c r="B186" s="131"/>
      <c r="C186" s="131"/>
      <c r="D186" s="131"/>
      <c r="E186" s="131"/>
      <c r="F186" s="131"/>
      <c r="G186" s="131"/>
      <c r="H186" s="132"/>
      <c r="I186" s="8">
        <f>ROUND(SUM(I185:I185),2)</f>
        <v>46</v>
      </c>
      <c r="J186" s="147"/>
      <c r="K186" s="56"/>
    </row>
    <row r="187" spans="1:18" hidden="1" x14ac:dyDescent="0.25">
      <c r="A187" s="148"/>
      <c r="B187" s="149"/>
      <c r="C187" s="149"/>
      <c r="D187" s="149"/>
      <c r="E187" s="149"/>
      <c r="F187" s="149"/>
      <c r="G187" s="149"/>
      <c r="H187" s="149"/>
      <c r="I187" s="149"/>
      <c r="J187" s="150"/>
    </row>
    <row r="188" spans="1:18" hidden="1" x14ac:dyDescent="0.25">
      <c r="A188" s="63" t="s">
        <v>3</v>
      </c>
      <c r="B188" s="95" t="s">
        <v>114</v>
      </c>
      <c r="C188" s="206" t="s">
        <v>112</v>
      </c>
      <c r="D188" s="207"/>
      <c r="E188" s="207"/>
      <c r="F188" s="207"/>
      <c r="G188" s="207"/>
      <c r="H188" s="207"/>
      <c r="I188" s="207"/>
      <c r="J188" s="208"/>
    </row>
    <row r="189" spans="1:18" hidden="1" x14ac:dyDescent="0.25">
      <c r="A189" s="63" t="s">
        <v>4</v>
      </c>
      <c r="B189" s="4" t="s">
        <v>110</v>
      </c>
      <c r="C189" s="209"/>
      <c r="D189" s="210"/>
      <c r="E189" s="210"/>
      <c r="F189" s="210"/>
      <c r="G189" s="210"/>
      <c r="H189" s="210"/>
      <c r="I189" s="210"/>
      <c r="J189" s="211"/>
    </row>
    <row r="190" spans="1:18" ht="28.5" hidden="1" x14ac:dyDescent="0.25">
      <c r="A190" s="124" t="s">
        <v>132</v>
      </c>
      <c r="B190" s="125"/>
      <c r="C190" s="53" t="s">
        <v>61</v>
      </c>
      <c r="D190" s="49" t="s">
        <v>137</v>
      </c>
      <c r="E190" s="49"/>
      <c r="F190" s="52"/>
      <c r="G190" s="49"/>
      <c r="H190" s="53"/>
      <c r="I190" s="53" t="s">
        <v>138</v>
      </c>
      <c r="J190" s="64" t="s">
        <v>10</v>
      </c>
      <c r="K190" s="56"/>
      <c r="R190" s="56"/>
    </row>
    <row r="191" spans="1:18" hidden="1" x14ac:dyDescent="0.25">
      <c r="A191" s="212"/>
      <c r="B191" s="213"/>
      <c r="C191" s="20"/>
      <c r="D191" s="10"/>
      <c r="E191" s="17"/>
      <c r="F191" s="15"/>
      <c r="G191" s="15"/>
      <c r="H191" s="18"/>
      <c r="I191" s="16">
        <f>D191</f>
        <v>0</v>
      </c>
      <c r="J191" s="146"/>
      <c r="K191" s="56"/>
    </row>
    <row r="192" spans="1:18" hidden="1" x14ac:dyDescent="0.25">
      <c r="A192" s="130" t="s">
        <v>11</v>
      </c>
      <c r="B192" s="131"/>
      <c r="C192" s="131"/>
      <c r="D192" s="131"/>
      <c r="E192" s="131"/>
      <c r="F192" s="131"/>
      <c r="G192" s="131"/>
      <c r="H192" s="132"/>
      <c r="I192" s="8">
        <f>SUM(I191:I191)</f>
        <v>0</v>
      </c>
      <c r="J192" s="147"/>
      <c r="K192" s="56"/>
    </row>
    <row r="193" spans="1:18" hidden="1" x14ac:dyDescent="0.25">
      <c r="A193" s="135"/>
      <c r="B193" s="136"/>
      <c r="C193" s="136"/>
      <c r="D193" s="136"/>
      <c r="E193" s="136"/>
      <c r="F193" s="136"/>
      <c r="G193" s="136"/>
      <c r="H193" s="136"/>
      <c r="I193" s="136"/>
      <c r="J193" s="137"/>
    </row>
    <row r="194" spans="1:18" hidden="1" x14ac:dyDescent="0.25">
      <c r="A194" s="158" t="s">
        <v>115</v>
      </c>
      <c r="B194" s="159"/>
      <c r="C194" s="159"/>
      <c r="D194" s="159"/>
      <c r="E194" s="159"/>
      <c r="F194" s="159"/>
      <c r="G194" s="159"/>
      <c r="H194" s="159"/>
      <c r="I194" s="159"/>
      <c r="J194" s="160"/>
    </row>
    <row r="195" spans="1:18" hidden="1" x14ac:dyDescent="0.25">
      <c r="A195" s="115"/>
      <c r="B195" s="116"/>
      <c r="C195" s="116"/>
      <c r="D195" s="116"/>
      <c r="E195" s="116"/>
      <c r="F195" s="116"/>
      <c r="G195" s="116"/>
      <c r="H195" s="116"/>
      <c r="I195" s="116"/>
      <c r="J195" s="117"/>
    </row>
    <row r="196" spans="1:18" hidden="1" x14ac:dyDescent="0.25">
      <c r="A196" s="63" t="s">
        <v>3</v>
      </c>
      <c r="B196" s="95" t="s">
        <v>116</v>
      </c>
      <c r="C196" s="118" t="s">
        <v>120</v>
      </c>
      <c r="D196" s="119"/>
      <c r="E196" s="119"/>
      <c r="F196" s="119"/>
      <c r="G196" s="119"/>
      <c r="H196" s="119"/>
      <c r="I196" s="119"/>
      <c r="J196" s="120"/>
    </row>
    <row r="197" spans="1:18" hidden="1" x14ac:dyDescent="0.25">
      <c r="A197" s="63" t="s">
        <v>4</v>
      </c>
      <c r="B197" s="4" t="s">
        <v>118</v>
      </c>
      <c r="C197" s="121"/>
      <c r="D197" s="122"/>
      <c r="E197" s="122"/>
      <c r="F197" s="122"/>
      <c r="G197" s="122"/>
      <c r="H197" s="122"/>
      <c r="I197" s="122"/>
      <c r="J197" s="123"/>
    </row>
    <row r="198" spans="1:18" hidden="1" x14ac:dyDescent="0.25">
      <c r="A198" s="124" t="s">
        <v>132</v>
      </c>
      <c r="B198" s="125"/>
      <c r="C198" s="53" t="s">
        <v>61</v>
      </c>
      <c r="D198" s="51" t="s">
        <v>140</v>
      </c>
      <c r="E198" s="50"/>
      <c r="F198" s="50"/>
      <c r="G198" s="52"/>
      <c r="H198" s="51"/>
      <c r="I198" s="52" t="s">
        <v>196</v>
      </c>
      <c r="J198" s="65" t="s">
        <v>10</v>
      </c>
      <c r="K198" s="56"/>
      <c r="R198" s="56"/>
    </row>
    <row r="199" spans="1:18" hidden="1" x14ac:dyDescent="0.25">
      <c r="A199" s="156"/>
      <c r="B199" s="157"/>
      <c r="C199" s="44"/>
      <c r="D199" s="10">
        <v>1</v>
      </c>
      <c r="E199" s="14"/>
      <c r="F199" s="14"/>
      <c r="G199" s="6"/>
      <c r="H199" s="14"/>
      <c r="I199" s="13">
        <f>D199</f>
        <v>1</v>
      </c>
      <c r="J199" s="128"/>
      <c r="K199" s="56"/>
    </row>
    <row r="200" spans="1:18" hidden="1" x14ac:dyDescent="0.25">
      <c r="A200" s="130" t="s">
        <v>11</v>
      </c>
      <c r="B200" s="131"/>
      <c r="C200" s="131"/>
      <c r="D200" s="131"/>
      <c r="E200" s="131"/>
      <c r="F200" s="131"/>
      <c r="G200" s="131"/>
      <c r="H200" s="132"/>
      <c r="I200" s="8">
        <f>ROUND(SUM(I199:I199),2)</f>
        <v>1</v>
      </c>
      <c r="J200" s="129"/>
      <c r="K200" s="56"/>
    </row>
    <row r="201" spans="1:18" hidden="1" x14ac:dyDescent="0.25">
      <c r="A201" s="135"/>
      <c r="B201" s="136"/>
      <c r="C201" s="136"/>
      <c r="D201" s="136"/>
      <c r="E201" s="136"/>
      <c r="F201" s="136"/>
      <c r="G201" s="136"/>
      <c r="H201" s="136"/>
      <c r="I201" s="136"/>
      <c r="J201" s="137"/>
    </row>
    <row r="202" spans="1:18" ht="15" hidden="1" customHeight="1" x14ac:dyDescent="0.25">
      <c r="A202" s="63" t="s">
        <v>3</v>
      </c>
      <c r="B202" s="95" t="s">
        <v>117</v>
      </c>
      <c r="C202" s="118" t="s">
        <v>121</v>
      </c>
      <c r="D202" s="119"/>
      <c r="E202" s="119"/>
      <c r="F202" s="119"/>
      <c r="G202" s="119"/>
      <c r="H202" s="119"/>
      <c r="I202" s="119"/>
      <c r="J202" s="120"/>
    </row>
    <row r="203" spans="1:18" hidden="1" x14ac:dyDescent="0.25">
      <c r="A203" s="63" t="s">
        <v>4</v>
      </c>
      <c r="B203" s="4" t="s">
        <v>119</v>
      </c>
      <c r="C203" s="121"/>
      <c r="D203" s="122"/>
      <c r="E203" s="122"/>
      <c r="F203" s="122"/>
      <c r="G203" s="122"/>
      <c r="H203" s="122"/>
      <c r="I203" s="122"/>
      <c r="J203" s="123"/>
    </row>
    <row r="204" spans="1:18" hidden="1" x14ac:dyDescent="0.25">
      <c r="A204" s="124" t="s">
        <v>132</v>
      </c>
      <c r="B204" s="125"/>
      <c r="C204" s="53" t="s">
        <v>61</v>
      </c>
      <c r="D204" s="51" t="s">
        <v>140</v>
      </c>
      <c r="E204" s="50"/>
      <c r="F204" s="50"/>
      <c r="G204" s="52"/>
      <c r="H204" s="51"/>
      <c r="I204" s="52" t="s">
        <v>160</v>
      </c>
      <c r="J204" s="65" t="s">
        <v>10</v>
      </c>
      <c r="K204" s="56"/>
      <c r="R204" s="56"/>
    </row>
    <row r="205" spans="1:18" hidden="1" x14ac:dyDescent="0.25">
      <c r="A205" s="126"/>
      <c r="B205" s="127"/>
      <c r="C205" s="44"/>
      <c r="D205" s="10">
        <v>2</v>
      </c>
      <c r="E205" s="14"/>
      <c r="F205" s="14"/>
      <c r="G205" s="6"/>
      <c r="H205" s="14"/>
      <c r="I205" s="13">
        <f>D205</f>
        <v>2</v>
      </c>
      <c r="J205" s="128"/>
      <c r="K205" s="56"/>
    </row>
    <row r="206" spans="1:18" hidden="1" x14ac:dyDescent="0.25">
      <c r="A206" s="130" t="s">
        <v>11</v>
      </c>
      <c r="B206" s="131"/>
      <c r="C206" s="131"/>
      <c r="D206" s="131"/>
      <c r="E206" s="131"/>
      <c r="F206" s="131"/>
      <c r="G206" s="131"/>
      <c r="H206" s="132"/>
      <c r="I206" s="8">
        <f>ROUND(SUM(I205:I205),2)</f>
        <v>2</v>
      </c>
      <c r="J206" s="129"/>
      <c r="K206" s="56"/>
    </row>
    <row r="207" spans="1:18" hidden="1" x14ac:dyDescent="0.25">
      <c r="A207" s="115"/>
      <c r="B207" s="116"/>
      <c r="C207" s="116"/>
      <c r="D207" s="116"/>
      <c r="E207" s="116"/>
      <c r="F207" s="116"/>
      <c r="G207" s="116"/>
      <c r="H207" s="116"/>
      <c r="I207" s="116"/>
      <c r="J207" s="117"/>
    </row>
    <row r="208" spans="1:18" hidden="1" x14ac:dyDescent="0.25">
      <c r="A208" s="112" t="s">
        <v>236</v>
      </c>
      <c r="B208" s="113"/>
      <c r="C208" s="113"/>
      <c r="D208" s="113"/>
      <c r="E208" s="113"/>
      <c r="F208" s="113"/>
      <c r="G208" s="113"/>
      <c r="H208" s="113"/>
      <c r="I208" s="113"/>
      <c r="J208" s="114"/>
    </row>
    <row r="209" spans="1:10" hidden="1" x14ac:dyDescent="0.25">
      <c r="A209" s="115"/>
      <c r="B209" s="116"/>
      <c r="C209" s="116"/>
      <c r="D209" s="116"/>
      <c r="E209" s="116"/>
      <c r="F209" s="116"/>
      <c r="G209" s="116"/>
      <c r="H209" s="116"/>
      <c r="I209" s="116"/>
      <c r="J209" s="117"/>
    </row>
    <row r="210" spans="1:10" hidden="1" x14ac:dyDescent="0.25">
      <c r="A210" s="63" t="s">
        <v>3</v>
      </c>
      <c r="B210" s="95" t="s">
        <v>237</v>
      </c>
      <c r="C210" s="118" t="s">
        <v>124</v>
      </c>
      <c r="D210" s="119"/>
      <c r="E210" s="119"/>
      <c r="F210" s="119"/>
      <c r="G210" s="119"/>
      <c r="H210" s="119"/>
      <c r="I210" s="119"/>
      <c r="J210" s="120"/>
    </row>
    <row r="211" spans="1:10" hidden="1" x14ac:dyDescent="0.25">
      <c r="A211" s="63" t="s">
        <v>4</v>
      </c>
      <c r="B211" s="4" t="s">
        <v>122</v>
      </c>
      <c r="C211" s="121"/>
      <c r="D211" s="122"/>
      <c r="E211" s="122"/>
      <c r="F211" s="122"/>
      <c r="G211" s="122"/>
      <c r="H211" s="122"/>
      <c r="I211" s="122"/>
      <c r="J211" s="123"/>
    </row>
    <row r="212" spans="1:10" hidden="1" x14ac:dyDescent="0.25">
      <c r="A212" s="124" t="s">
        <v>132</v>
      </c>
      <c r="B212" s="125"/>
      <c r="C212" s="53" t="s">
        <v>61</v>
      </c>
      <c r="D212" s="50" t="s">
        <v>12</v>
      </c>
      <c r="E212" s="50" t="s">
        <v>136</v>
      </c>
      <c r="F212" s="50" t="s">
        <v>153</v>
      </c>
      <c r="G212" s="50" t="s">
        <v>133</v>
      </c>
      <c r="H212" s="50" t="s">
        <v>216</v>
      </c>
      <c r="I212" s="50" t="s">
        <v>141</v>
      </c>
      <c r="J212" s="65" t="s">
        <v>10</v>
      </c>
    </row>
    <row r="213" spans="1:10" hidden="1" x14ac:dyDescent="0.25">
      <c r="A213" s="126" t="s">
        <v>150</v>
      </c>
      <c r="B213" s="127"/>
      <c r="C213" s="11" t="s">
        <v>151</v>
      </c>
      <c r="D213" s="99">
        <f>8+8+1.7+1.7+7.6+7.6</f>
        <v>34.6</v>
      </c>
      <c r="E213" s="99">
        <v>1.1000000000000001</v>
      </c>
      <c r="F213" s="99">
        <v>0</v>
      </c>
      <c r="G213" s="97">
        <f>ROUND((D213*E213)-F213,2)</f>
        <v>38.06</v>
      </c>
      <c r="H213" s="97">
        <v>0.15</v>
      </c>
      <c r="I213" s="97">
        <f>H213*G213</f>
        <v>5.7090000000000005</v>
      </c>
      <c r="J213" s="98"/>
    </row>
    <row r="214" spans="1:10" ht="30" hidden="1" x14ac:dyDescent="0.25">
      <c r="A214" s="126" t="s">
        <v>152</v>
      </c>
      <c r="B214" s="127"/>
      <c r="C214" s="11" t="s">
        <v>154</v>
      </c>
      <c r="D214" s="99">
        <f>9.95+4.5+16.55+6.15+1.8+1.65+1.6+1.65+3.2+1.65</f>
        <v>48.699999999999996</v>
      </c>
      <c r="E214" s="99">
        <v>3</v>
      </c>
      <c r="F214" s="99">
        <f>(2*0.8*2)+(2*0.6)+(2*0.9)+(1*1*2)+(0.6*0.4*2)+(0.5*0.5*2)+(1.5*0.4*4)</f>
        <v>11.58</v>
      </c>
      <c r="G214" s="97">
        <f t="shared" ref="G214:G217" si="0">ROUND((D214*E214)-F214,2)</f>
        <v>134.52000000000001</v>
      </c>
      <c r="H214" s="97">
        <v>0.15</v>
      </c>
      <c r="I214" s="97">
        <f t="shared" ref="I214:I218" si="1">H214*G214</f>
        <v>20.178000000000001</v>
      </c>
      <c r="J214" s="98"/>
    </row>
    <row r="215" spans="1:10" hidden="1" x14ac:dyDescent="0.25">
      <c r="A215" s="126" t="s">
        <v>155</v>
      </c>
      <c r="B215" s="127"/>
      <c r="C215" s="11" t="s">
        <v>156</v>
      </c>
      <c r="D215" s="99">
        <f>10+4+10+4+3.72+3.72+9.72+9.72</f>
        <v>54.879999999999995</v>
      </c>
      <c r="E215" s="99">
        <v>1.1000000000000001</v>
      </c>
      <c r="F215" s="99">
        <f>(1*1.1*4)+(2*1.1*2)</f>
        <v>8.8000000000000007</v>
      </c>
      <c r="G215" s="97">
        <f t="shared" si="0"/>
        <v>51.57</v>
      </c>
      <c r="H215" s="97">
        <v>0.15</v>
      </c>
      <c r="I215" s="97">
        <f t="shared" si="1"/>
        <v>7.7355</v>
      </c>
      <c r="J215" s="98"/>
    </row>
    <row r="216" spans="1:10" hidden="1" x14ac:dyDescent="0.25">
      <c r="A216" s="126" t="s">
        <v>149</v>
      </c>
      <c r="B216" s="127"/>
      <c r="C216" s="11">
        <v>6.9</v>
      </c>
      <c r="D216" s="99">
        <f>6.9</f>
        <v>6.9</v>
      </c>
      <c r="E216" s="11">
        <v>95.9</v>
      </c>
      <c r="F216" s="99">
        <v>0</v>
      </c>
      <c r="G216" s="97">
        <f t="shared" si="0"/>
        <v>661.71</v>
      </c>
      <c r="H216" s="97">
        <v>0.15</v>
      </c>
      <c r="I216" s="97">
        <f t="shared" si="1"/>
        <v>99.256500000000003</v>
      </c>
      <c r="J216" s="98"/>
    </row>
    <row r="217" spans="1:10" hidden="1" x14ac:dyDescent="0.25">
      <c r="A217" s="126" t="s">
        <v>149</v>
      </c>
      <c r="B217" s="127"/>
      <c r="C217" s="11">
        <v>95.9</v>
      </c>
      <c r="D217" s="99">
        <f>95.9</f>
        <v>95.9</v>
      </c>
      <c r="E217" s="99">
        <f>0.6*14</f>
        <v>8.4</v>
      </c>
      <c r="F217" s="99">
        <v>0</v>
      </c>
      <c r="G217" s="97">
        <f t="shared" si="0"/>
        <v>805.56</v>
      </c>
      <c r="H217" s="97">
        <v>0.15</v>
      </c>
      <c r="I217" s="97">
        <f t="shared" si="1"/>
        <v>120.83399999999999</v>
      </c>
      <c r="J217" s="98"/>
    </row>
    <row r="218" spans="1:10" hidden="1" x14ac:dyDescent="0.25">
      <c r="A218" s="126" t="s">
        <v>215</v>
      </c>
      <c r="B218" s="127"/>
      <c r="C218" s="11">
        <v>130</v>
      </c>
      <c r="D218" s="99"/>
      <c r="E218" s="99">
        <v>2</v>
      </c>
      <c r="F218" s="99"/>
      <c r="G218" s="97">
        <f>0.15+0.15+0.15+0.15*E218*C218</f>
        <v>39.450000000000003</v>
      </c>
      <c r="H218" s="97">
        <v>0.15</v>
      </c>
      <c r="I218" s="97">
        <f t="shared" si="1"/>
        <v>5.9175000000000004</v>
      </c>
      <c r="J218" s="106"/>
    </row>
    <row r="219" spans="1:10" hidden="1" x14ac:dyDescent="0.25">
      <c r="A219" s="130" t="s">
        <v>11</v>
      </c>
      <c r="B219" s="131"/>
      <c r="C219" s="131"/>
      <c r="D219" s="131"/>
      <c r="E219" s="131"/>
      <c r="F219" s="131"/>
      <c r="G219" s="101">
        <f>SUM(G213:G218)</f>
        <v>1730.8700000000001</v>
      </c>
      <c r="H219" s="100" t="s">
        <v>11</v>
      </c>
      <c r="I219" s="8">
        <f>ROUND(SUM(I213:I218),2)</f>
        <v>259.63</v>
      </c>
      <c r="J219" s="91"/>
    </row>
    <row r="220" spans="1:10" hidden="1" x14ac:dyDescent="0.25">
      <c r="A220" s="115"/>
      <c r="B220" s="116"/>
      <c r="C220" s="116"/>
      <c r="D220" s="116"/>
      <c r="E220" s="116"/>
      <c r="F220" s="116"/>
      <c r="G220" s="116"/>
      <c r="H220" s="116"/>
      <c r="I220" s="116"/>
      <c r="J220" s="117"/>
    </row>
    <row r="221" spans="1:10" x14ac:dyDescent="0.25">
      <c r="A221" s="112" t="s">
        <v>238</v>
      </c>
      <c r="B221" s="113"/>
      <c r="C221" s="113"/>
      <c r="D221" s="113"/>
      <c r="E221" s="113"/>
      <c r="F221" s="113"/>
      <c r="G221" s="113"/>
      <c r="H221" s="113"/>
      <c r="I221" s="113"/>
      <c r="J221" s="114"/>
    </row>
    <row r="222" spans="1:10" x14ac:dyDescent="0.25">
      <c r="A222" s="115"/>
      <c r="B222" s="116"/>
      <c r="C222" s="116"/>
      <c r="D222" s="116"/>
      <c r="E222" s="116"/>
      <c r="F222" s="116"/>
      <c r="G222" s="116"/>
      <c r="H222" s="116"/>
      <c r="I222" s="116"/>
      <c r="J222" s="117"/>
    </row>
    <row r="223" spans="1:10" x14ac:dyDescent="0.25">
      <c r="A223" s="63" t="s">
        <v>3</v>
      </c>
      <c r="B223" s="95" t="s">
        <v>237</v>
      </c>
      <c r="C223" s="161" t="s">
        <v>148</v>
      </c>
      <c r="D223" s="162"/>
      <c r="E223" s="162"/>
      <c r="F223" s="162"/>
      <c r="G223" s="162"/>
      <c r="H223" s="162"/>
      <c r="I223" s="162"/>
      <c r="J223" s="163"/>
    </row>
    <row r="224" spans="1:10" x14ac:dyDescent="0.25">
      <c r="A224" s="63" t="s">
        <v>4</v>
      </c>
      <c r="B224" s="4" t="s">
        <v>147</v>
      </c>
      <c r="C224" s="164"/>
      <c r="D224" s="165"/>
      <c r="E224" s="165"/>
      <c r="F224" s="165"/>
      <c r="G224" s="165"/>
      <c r="H224" s="165"/>
      <c r="I224" s="165"/>
      <c r="J224" s="166"/>
    </row>
    <row r="225" spans="1:10" x14ac:dyDescent="0.25">
      <c r="A225" s="152" t="s">
        <v>132</v>
      </c>
      <c r="B225" s="153"/>
      <c r="C225" s="50" t="s">
        <v>5</v>
      </c>
      <c r="D225" s="50" t="s">
        <v>12</v>
      </c>
      <c r="E225" s="50" t="s">
        <v>136</v>
      </c>
      <c r="F225" s="50" t="s">
        <v>13</v>
      </c>
      <c r="G225" s="54" t="s">
        <v>8</v>
      </c>
      <c r="H225" s="49"/>
      <c r="I225" s="49" t="s">
        <v>181</v>
      </c>
      <c r="J225" s="64" t="s">
        <v>10</v>
      </c>
    </row>
    <row r="226" spans="1:10" x14ac:dyDescent="0.25">
      <c r="A226" s="167"/>
      <c r="B226" s="168"/>
      <c r="C226" s="44" t="s">
        <v>146</v>
      </c>
      <c r="D226" s="10">
        <f>8+1.7+7.6</f>
        <v>17.299999999999997</v>
      </c>
      <c r="E226" s="10">
        <v>1.1000000000000001</v>
      </c>
      <c r="F226" s="10">
        <v>0.15</v>
      </c>
      <c r="G226" s="10">
        <v>1</v>
      </c>
      <c r="H226" s="15"/>
      <c r="I226" s="6">
        <f>ROUND(D226*E226*F226*G226,2)</f>
        <v>2.85</v>
      </c>
      <c r="J226" s="128"/>
    </row>
    <row r="227" spans="1:10" x14ac:dyDescent="0.25">
      <c r="A227" s="130" t="s">
        <v>11</v>
      </c>
      <c r="B227" s="131"/>
      <c r="C227" s="131"/>
      <c r="D227" s="131"/>
      <c r="E227" s="131"/>
      <c r="F227" s="131"/>
      <c r="G227" s="131"/>
      <c r="H227" s="132"/>
      <c r="I227" s="8">
        <f>ROUND(SUM(I226),2)</f>
        <v>2.85</v>
      </c>
      <c r="J227" s="129"/>
    </row>
    <row r="228" spans="1:10" x14ac:dyDescent="0.25">
      <c r="A228" s="115"/>
      <c r="B228" s="116"/>
      <c r="C228" s="116"/>
      <c r="D228" s="116"/>
      <c r="E228" s="116"/>
      <c r="F228" s="116"/>
      <c r="G228" s="116"/>
      <c r="H228" s="116"/>
      <c r="I228" s="116"/>
      <c r="J228" s="117"/>
    </row>
    <row r="229" spans="1:10" x14ac:dyDescent="0.25">
      <c r="A229" s="63" t="s">
        <v>3</v>
      </c>
      <c r="B229" s="95" t="s">
        <v>239</v>
      </c>
      <c r="C229" s="118" t="s">
        <v>78</v>
      </c>
      <c r="D229" s="119"/>
      <c r="E229" s="119"/>
      <c r="F229" s="119"/>
      <c r="G229" s="119"/>
      <c r="H229" s="119"/>
      <c r="I229" s="119"/>
      <c r="J229" s="120"/>
    </row>
    <row r="230" spans="1:10" x14ac:dyDescent="0.25">
      <c r="A230" s="63" t="s">
        <v>4</v>
      </c>
      <c r="B230" s="4" t="s">
        <v>85</v>
      </c>
      <c r="C230" s="121"/>
      <c r="D230" s="122"/>
      <c r="E230" s="122"/>
      <c r="F230" s="122"/>
      <c r="G230" s="122"/>
      <c r="H230" s="122"/>
      <c r="I230" s="122"/>
      <c r="J230" s="123"/>
    </row>
    <row r="231" spans="1:10" x14ac:dyDescent="0.25">
      <c r="A231" s="124" t="s">
        <v>132</v>
      </c>
      <c r="B231" s="125"/>
      <c r="C231" s="53" t="s">
        <v>61</v>
      </c>
      <c r="D231" s="50" t="s">
        <v>12</v>
      </c>
      <c r="E231" s="50" t="s">
        <v>136</v>
      </c>
      <c r="F231" s="54"/>
      <c r="G231" s="54"/>
      <c r="H231" s="49"/>
      <c r="I231" s="49" t="s">
        <v>133</v>
      </c>
      <c r="J231" s="65" t="s">
        <v>10</v>
      </c>
    </row>
    <row r="232" spans="1:10" x14ac:dyDescent="0.25">
      <c r="A232" s="126"/>
      <c r="B232" s="127"/>
      <c r="C232" s="44"/>
      <c r="D232" s="10">
        <f>D226</f>
        <v>17.299999999999997</v>
      </c>
      <c r="E232" s="10">
        <f>E226</f>
        <v>1.1000000000000001</v>
      </c>
      <c r="F232" s="10"/>
      <c r="G232" s="10"/>
      <c r="H232" s="15"/>
      <c r="I232" s="6">
        <f>E232*D232</f>
        <v>19.029999999999998</v>
      </c>
      <c r="J232" s="128"/>
    </row>
    <row r="233" spans="1:10" x14ac:dyDescent="0.25">
      <c r="A233" s="130" t="s">
        <v>11</v>
      </c>
      <c r="B233" s="131"/>
      <c r="C233" s="131"/>
      <c r="D233" s="131"/>
      <c r="E233" s="131"/>
      <c r="F233" s="131"/>
      <c r="G233" s="131"/>
      <c r="H233" s="132"/>
      <c r="I233" s="8">
        <f>ROUND(SUM(I232:I232),2)</f>
        <v>19.03</v>
      </c>
      <c r="J233" s="129"/>
    </row>
    <row r="234" spans="1:10" x14ac:dyDescent="0.25">
      <c r="A234" s="102"/>
      <c r="B234" s="103"/>
      <c r="C234" s="46"/>
      <c r="D234" s="46"/>
      <c r="E234" s="46"/>
      <c r="F234" s="46"/>
      <c r="G234" s="46"/>
      <c r="H234" s="46"/>
      <c r="I234" s="46"/>
      <c r="J234" s="68"/>
    </row>
    <row r="235" spans="1:10" x14ac:dyDescent="0.25">
      <c r="A235" s="63" t="s">
        <v>3</v>
      </c>
      <c r="B235" s="95" t="s">
        <v>240</v>
      </c>
      <c r="C235" s="118" t="s">
        <v>107</v>
      </c>
      <c r="D235" s="119"/>
      <c r="E235" s="119"/>
      <c r="F235" s="119"/>
      <c r="G235" s="119"/>
      <c r="H235" s="119"/>
      <c r="I235" s="119"/>
      <c r="J235" s="120"/>
    </row>
    <row r="236" spans="1:10" x14ac:dyDescent="0.25">
      <c r="A236" s="63" t="s">
        <v>4</v>
      </c>
      <c r="B236" s="4">
        <v>94990</v>
      </c>
      <c r="C236" s="121"/>
      <c r="D236" s="122"/>
      <c r="E236" s="122"/>
      <c r="F236" s="122"/>
      <c r="G236" s="122"/>
      <c r="H236" s="122"/>
      <c r="I236" s="122"/>
      <c r="J236" s="123"/>
    </row>
    <row r="237" spans="1:10" ht="28.5" x14ac:dyDescent="0.25">
      <c r="A237" s="124" t="s">
        <v>132</v>
      </c>
      <c r="B237" s="125"/>
      <c r="C237" s="53" t="s">
        <v>61</v>
      </c>
      <c r="D237" s="50" t="s">
        <v>133</v>
      </c>
      <c r="E237" s="50" t="s">
        <v>13</v>
      </c>
      <c r="F237" s="54" t="s">
        <v>8</v>
      </c>
      <c r="G237" s="54"/>
      <c r="H237" s="49"/>
      <c r="I237" s="49" t="s">
        <v>14</v>
      </c>
      <c r="J237" s="65" t="s">
        <v>10</v>
      </c>
    </row>
    <row r="238" spans="1:10" x14ac:dyDescent="0.25">
      <c r="A238" s="126"/>
      <c r="B238" s="127"/>
      <c r="C238" s="44"/>
      <c r="D238" s="10">
        <v>59.18</v>
      </c>
      <c r="E238" s="10">
        <v>0.06</v>
      </c>
      <c r="F238" s="10">
        <v>1</v>
      </c>
      <c r="G238" s="10"/>
      <c r="H238" s="15"/>
      <c r="I238" s="6">
        <f>ROUND(D238*E238*F238,2)</f>
        <v>3.55</v>
      </c>
      <c r="J238" s="128"/>
    </row>
    <row r="239" spans="1:10" x14ac:dyDescent="0.25">
      <c r="A239" s="130" t="s">
        <v>11</v>
      </c>
      <c r="B239" s="131"/>
      <c r="C239" s="131"/>
      <c r="D239" s="131"/>
      <c r="E239" s="131"/>
      <c r="F239" s="131"/>
      <c r="G239" s="131"/>
      <c r="H239" s="132"/>
      <c r="I239" s="8">
        <f>ROUND(SUM(I238:I238),2)</f>
        <v>3.55</v>
      </c>
      <c r="J239" s="129"/>
    </row>
    <row r="240" spans="1:10" x14ac:dyDescent="0.25">
      <c r="A240" s="115"/>
      <c r="B240" s="116"/>
      <c r="C240" s="116"/>
      <c r="D240" s="116"/>
      <c r="E240" s="116"/>
      <c r="F240" s="116"/>
      <c r="G240" s="116"/>
      <c r="H240" s="116"/>
      <c r="I240" s="116"/>
      <c r="J240" s="117"/>
    </row>
    <row r="241" spans="1:10" x14ac:dyDescent="0.25">
      <c r="A241" s="63" t="s">
        <v>3</v>
      </c>
      <c r="B241" s="95" t="s">
        <v>241</v>
      </c>
      <c r="C241" s="118" t="s">
        <v>127</v>
      </c>
      <c r="D241" s="119"/>
      <c r="E241" s="119"/>
      <c r="F241" s="119"/>
      <c r="G241" s="119"/>
      <c r="H241" s="119"/>
      <c r="I241" s="119"/>
      <c r="J241" s="120"/>
    </row>
    <row r="242" spans="1:10" x14ac:dyDescent="0.25">
      <c r="A242" s="63" t="s">
        <v>4</v>
      </c>
      <c r="B242" s="4" t="s">
        <v>125</v>
      </c>
      <c r="C242" s="121"/>
      <c r="D242" s="122"/>
      <c r="E242" s="122"/>
      <c r="F242" s="122"/>
      <c r="G242" s="122"/>
      <c r="H242" s="122"/>
      <c r="I242" s="122"/>
      <c r="J242" s="123"/>
    </row>
    <row r="243" spans="1:10" ht="28.5" x14ac:dyDescent="0.25">
      <c r="A243" s="124" t="s">
        <v>132</v>
      </c>
      <c r="B243" s="125"/>
      <c r="C243" s="53" t="s">
        <v>61</v>
      </c>
      <c r="D243" s="50" t="s">
        <v>6</v>
      </c>
      <c r="E243" s="53"/>
      <c r="F243" s="53"/>
      <c r="G243" s="53"/>
      <c r="H243" s="53"/>
      <c r="I243" s="49" t="s">
        <v>135</v>
      </c>
      <c r="J243" s="65" t="s">
        <v>10</v>
      </c>
    </row>
    <row r="244" spans="1:10" x14ac:dyDescent="0.25">
      <c r="A244" s="126"/>
      <c r="B244" s="127"/>
      <c r="C244" s="44" t="s">
        <v>146</v>
      </c>
      <c r="D244" s="10">
        <f>8+1.7+7.6</f>
        <v>17.299999999999997</v>
      </c>
      <c r="E244" s="10"/>
      <c r="F244" s="10"/>
      <c r="G244" s="19"/>
      <c r="H244" s="58"/>
      <c r="I244" s="13">
        <f>D244</f>
        <v>17.299999999999997</v>
      </c>
      <c r="J244" s="128"/>
    </row>
    <row r="245" spans="1:10" x14ac:dyDescent="0.25">
      <c r="A245" s="130" t="s">
        <v>11</v>
      </c>
      <c r="B245" s="131"/>
      <c r="C245" s="131"/>
      <c r="D245" s="131"/>
      <c r="E245" s="131"/>
      <c r="F245" s="131"/>
      <c r="G245" s="131"/>
      <c r="H245" s="132"/>
      <c r="I245" s="8">
        <f>ROUND(SUM(I244:I244),2)</f>
        <v>17.3</v>
      </c>
      <c r="J245" s="129"/>
    </row>
    <row r="246" spans="1:10" x14ac:dyDescent="0.25">
      <c r="A246" s="115"/>
      <c r="B246" s="116"/>
      <c r="C246" s="116"/>
      <c r="D246" s="116"/>
      <c r="E246" s="116"/>
      <c r="F246" s="116"/>
      <c r="G246" s="116"/>
      <c r="H246" s="116"/>
      <c r="I246" s="116"/>
      <c r="J246" s="117"/>
    </row>
    <row r="247" spans="1:10" x14ac:dyDescent="0.25">
      <c r="A247" s="63" t="s">
        <v>3</v>
      </c>
      <c r="B247" s="95" t="s">
        <v>242</v>
      </c>
      <c r="C247" s="118" t="s">
        <v>128</v>
      </c>
      <c r="D247" s="119"/>
      <c r="E247" s="119"/>
      <c r="F247" s="119"/>
      <c r="G247" s="119"/>
      <c r="H247" s="119"/>
      <c r="I247" s="119"/>
      <c r="J247" s="120"/>
    </row>
    <row r="248" spans="1:10" x14ac:dyDescent="0.25">
      <c r="A248" s="63" t="s">
        <v>4</v>
      </c>
      <c r="B248" s="4" t="s">
        <v>126</v>
      </c>
      <c r="C248" s="121"/>
      <c r="D248" s="122"/>
      <c r="E248" s="122"/>
      <c r="F248" s="122"/>
      <c r="G248" s="122"/>
      <c r="H248" s="122"/>
      <c r="I248" s="122"/>
      <c r="J248" s="123"/>
    </row>
    <row r="249" spans="1:10" ht="28.5" x14ac:dyDescent="0.25">
      <c r="A249" s="124" t="s">
        <v>132</v>
      </c>
      <c r="B249" s="125"/>
      <c r="C249" s="53" t="s">
        <v>61</v>
      </c>
      <c r="D249" s="50" t="s">
        <v>6</v>
      </c>
      <c r="E249" s="50" t="s">
        <v>136</v>
      </c>
      <c r="F249" s="54" t="s">
        <v>8</v>
      </c>
      <c r="G249" s="49"/>
      <c r="H249" s="49"/>
      <c r="I249" s="49" t="s">
        <v>9</v>
      </c>
      <c r="J249" s="65" t="s">
        <v>10</v>
      </c>
    </row>
    <row r="250" spans="1:10" x14ac:dyDescent="0.25">
      <c r="A250" s="126"/>
      <c r="B250" s="127"/>
      <c r="C250" s="44" t="s">
        <v>146</v>
      </c>
      <c r="D250" s="10">
        <f>8+1.7+7.6</f>
        <v>17.299999999999997</v>
      </c>
      <c r="E250" s="10">
        <v>1.53</v>
      </c>
      <c r="F250" s="10">
        <v>1</v>
      </c>
      <c r="G250" s="10"/>
      <c r="H250" s="15"/>
      <c r="I250" s="6">
        <f>ROUND(D250*E250*F250,2)</f>
        <v>26.47</v>
      </c>
      <c r="J250" s="128"/>
    </row>
    <row r="251" spans="1:10" x14ac:dyDescent="0.25">
      <c r="A251" s="130" t="s">
        <v>11</v>
      </c>
      <c r="B251" s="131"/>
      <c r="C251" s="131"/>
      <c r="D251" s="131"/>
      <c r="E251" s="131"/>
      <c r="F251" s="131"/>
      <c r="G251" s="131"/>
      <c r="H251" s="132"/>
      <c r="I251" s="8">
        <f>ROUND(SUM(I250:I250),2)</f>
        <v>26.47</v>
      </c>
      <c r="J251" s="129"/>
    </row>
    <row r="252" spans="1:10" x14ac:dyDescent="0.25">
      <c r="A252" s="115"/>
      <c r="B252" s="116"/>
      <c r="C252" s="116"/>
      <c r="D252" s="116"/>
      <c r="E252" s="116"/>
      <c r="F252" s="116"/>
      <c r="G252" s="116"/>
      <c r="H252" s="116"/>
      <c r="I252" s="116"/>
      <c r="J252" s="117"/>
    </row>
    <row r="253" spans="1:10" x14ac:dyDescent="0.25">
      <c r="A253" s="112" t="s">
        <v>243</v>
      </c>
      <c r="B253" s="113"/>
      <c r="C253" s="113"/>
      <c r="D253" s="113"/>
      <c r="E253" s="113"/>
      <c r="F253" s="113"/>
      <c r="G253" s="113"/>
      <c r="H253" s="113"/>
      <c r="I253" s="113"/>
      <c r="J253" s="114"/>
    </row>
    <row r="254" spans="1:10" x14ac:dyDescent="0.25">
      <c r="A254" s="115"/>
      <c r="B254" s="116"/>
      <c r="C254" s="116"/>
      <c r="D254" s="116"/>
      <c r="E254" s="116"/>
      <c r="F254" s="116"/>
      <c r="G254" s="116"/>
      <c r="H254" s="116"/>
      <c r="I254" s="116"/>
      <c r="J254" s="117"/>
    </row>
    <row r="255" spans="1:10" x14ac:dyDescent="0.25">
      <c r="A255" s="63" t="s">
        <v>3</v>
      </c>
      <c r="B255" s="95" t="s">
        <v>123</v>
      </c>
      <c r="C255" s="118" t="s">
        <v>130</v>
      </c>
      <c r="D255" s="119"/>
      <c r="E255" s="119"/>
      <c r="F255" s="119"/>
      <c r="G255" s="119"/>
      <c r="H255" s="119"/>
      <c r="I255" s="119"/>
      <c r="J255" s="120"/>
    </row>
    <row r="256" spans="1:10" x14ac:dyDescent="0.25">
      <c r="A256" s="63" t="s">
        <v>4</v>
      </c>
      <c r="B256" s="4" t="s">
        <v>129</v>
      </c>
      <c r="C256" s="121"/>
      <c r="D256" s="122"/>
      <c r="E256" s="122"/>
      <c r="F256" s="122"/>
      <c r="G256" s="122"/>
      <c r="H256" s="122"/>
      <c r="I256" s="122"/>
      <c r="J256" s="123"/>
    </row>
    <row r="257" spans="1:10" x14ac:dyDescent="0.25">
      <c r="A257" s="124" t="s">
        <v>132</v>
      </c>
      <c r="B257" s="125"/>
      <c r="C257" s="53" t="s">
        <v>61</v>
      </c>
      <c r="D257" s="50" t="s">
        <v>6</v>
      </c>
      <c r="E257" s="54" t="s">
        <v>8</v>
      </c>
      <c r="F257" s="53"/>
      <c r="G257" s="53"/>
      <c r="H257" s="53"/>
      <c r="I257" s="49" t="s">
        <v>6</v>
      </c>
      <c r="J257" s="65" t="s">
        <v>10</v>
      </c>
    </row>
    <row r="258" spans="1:10" x14ac:dyDescent="0.25">
      <c r="A258" s="126" t="s">
        <v>217</v>
      </c>
      <c r="B258" s="127"/>
      <c r="C258" s="44"/>
      <c r="D258" s="10">
        <v>2.2999999999999998</v>
      </c>
      <c r="E258" s="10">
        <v>4</v>
      </c>
      <c r="F258" s="10"/>
      <c r="G258" s="19"/>
      <c r="H258" s="58"/>
      <c r="I258" s="13">
        <f>D258*E258</f>
        <v>9.1999999999999993</v>
      </c>
      <c r="J258" s="128"/>
    </row>
    <row r="259" spans="1:10" x14ac:dyDescent="0.25">
      <c r="A259" s="126" t="s">
        <v>218</v>
      </c>
      <c r="B259" s="127"/>
      <c r="C259" s="44" t="s">
        <v>219</v>
      </c>
      <c r="D259" s="10">
        <f>35+17.9</f>
        <v>52.9</v>
      </c>
      <c r="E259" s="10">
        <v>1</v>
      </c>
      <c r="F259" s="10"/>
      <c r="G259" s="19"/>
      <c r="H259" s="58"/>
      <c r="I259" s="13">
        <f>D259*E259</f>
        <v>52.9</v>
      </c>
      <c r="J259" s="169"/>
    </row>
    <row r="260" spans="1:10" x14ac:dyDescent="0.25">
      <c r="A260" s="130" t="s">
        <v>11</v>
      </c>
      <c r="B260" s="131"/>
      <c r="C260" s="131"/>
      <c r="D260" s="131"/>
      <c r="E260" s="131"/>
      <c r="F260" s="131"/>
      <c r="G260" s="131"/>
      <c r="H260" s="132"/>
      <c r="I260" s="8">
        <f>ROUND(SUM(I258:I259),2)</f>
        <v>62.1</v>
      </c>
      <c r="J260" s="129"/>
    </row>
    <row r="261" spans="1:10" x14ac:dyDescent="0.25">
      <c r="A261" s="115"/>
      <c r="B261" s="116"/>
      <c r="C261" s="116"/>
      <c r="D261" s="116"/>
      <c r="E261" s="116"/>
      <c r="F261" s="116"/>
      <c r="G261" s="116"/>
      <c r="H261" s="116"/>
      <c r="I261" s="116"/>
      <c r="J261" s="117"/>
    </row>
    <row r="262" spans="1:10" x14ac:dyDescent="0.25">
      <c r="A262" s="112" t="s">
        <v>244</v>
      </c>
      <c r="B262" s="113"/>
      <c r="C262" s="113"/>
      <c r="D262" s="113"/>
      <c r="E262" s="113"/>
      <c r="F262" s="113"/>
      <c r="G262" s="113"/>
      <c r="H262" s="113"/>
      <c r="I262" s="113"/>
      <c r="J262" s="114"/>
    </row>
    <row r="263" spans="1:10" x14ac:dyDescent="0.25">
      <c r="A263" s="115"/>
      <c r="B263" s="116"/>
      <c r="C263" s="116"/>
      <c r="D263" s="116"/>
      <c r="E263" s="116"/>
      <c r="F263" s="116"/>
      <c r="G263" s="116"/>
      <c r="H263" s="116"/>
      <c r="I263" s="116"/>
      <c r="J263" s="117"/>
    </row>
    <row r="264" spans="1:10" x14ac:dyDescent="0.25">
      <c r="A264" s="63" t="s">
        <v>3</v>
      </c>
      <c r="B264" s="95" t="s">
        <v>245</v>
      </c>
      <c r="C264" s="118" t="s">
        <v>198</v>
      </c>
      <c r="D264" s="119"/>
      <c r="E264" s="119"/>
      <c r="F264" s="119"/>
      <c r="G264" s="119"/>
      <c r="H264" s="119"/>
      <c r="I264" s="119"/>
      <c r="J264" s="120"/>
    </row>
    <row r="265" spans="1:10" x14ac:dyDescent="0.25">
      <c r="A265" s="63" t="s">
        <v>4</v>
      </c>
      <c r="B265" s="4" t="s">
        <v>197</v>
      </c>
      <c r="C265" s="121"/>
      <c r="D265" s="122"/>
      <c r="E265" s="122"/>
      <c r="F265" s="122"/>
      <c r="G265" s="122"/>
      <c r="H265" s="122"/>
      <c r="I265" s="122"/>
      <c r="J265" s="123"/>
    </row>
    <row r="266" spans="1:10" x14ac:dyDescent="0.25">
      <c r="A266" s="124" t="s">
        <v>132</v>
      </c>
      <c r="B266" s="125"/>
      <c r="C266" s="53" t="s">
        <v>61</v>
      </c>
      <c r="D266" s="50" t="s">
        <v>160</v>
      </c>
      <c r="E266" s="53"/>
      <c r="F266" s="53"/>
      <c r="G266" s="53"/>
      <c r="H266" s="53"/>
      <c r="I266" s="50" t="s">
        <v>160</v>
      </c>
      <c r="J266" s="65" t="s">
        <v>10</v>
      </c>
    </row>
    <row r="267" spans="1:10" x14ac:dyDescent="0.25">
      <c r="A267" s="126" t="s">
        <v>220</v>
      </c>
      <c r="B267" s="127"/>
      <c r="C267" s="44"/>
      <c r="D267" s="10">
        <v>1</v>
      </c>
      <c r="E267" s="10"/>
      <c r="F267" s="10"/>
      <c r="G267" s="19"/>
      <c r="H267" s="58"/>
      <c r="I267" s="13">
        <f>D267</f>
        <v>1</v>
      </c>
      <c r="J267" s="128"/>
    </row>
    <row r="268" spans="1:10" x14ac:dyDescent="0.25">
      <c r="A268" s="130" t="s">
        <v>11</v>
      </c>
      <c r="B268" s="131"/>
      <c r="C268" s="131"/>
      <c r="D268" s="131"/>
      <c r="E268" s="131"/>
      <c r="F268" s="131"/>
      <c r="G268" s="131"/>
      <c r="H268" s="132"/>
      <c r="I268" s="8">
        <f>ROUND(SUM(I267),2)</f>
        <v>1</v>
      </c>
      <c r="J268" s="129"/>
    </row>
    <row r="269" spans="1:10" x14ac:dyDescent="0.25">
      <c r="A269" s="115"/>
      <c r="B269" s="116"/>
      <c r="C269" s="116"/>
      <c r="D269" s="116"/>
      <c r="E269" s="116"/>
      <c r="F269" s="116"/>
      <c r="G269" s="116"/>
      <c r="H269" s="116"/>
      <c r="I269" s="116"/>
      <c r="J269" s="117"/>
    </row>
    <row r="270" spans="1:10" x14ac:dyDescent="0.25">
      <c r="A270" s="67"/>
      <c r="B270" s="46"/>
      <c r="C270" s="46"/>
      <c r="D270" s="46"/>
      <c r="E270" s="46"/>
      <c r="F270" s="46"/>
      <c r="G270" s="46"/>
      <c r="H270" s="46"/>
      <c r="I270" s="46"/>
      <c r="J270" s="68"/>
    </row>
    <row r="271" spans="1:10" x14ac:dyDescent="0.25">
      <c r="A271" s="69"/>
      <c r="B271" s="70"/>
      <c r="C271" s="70"/>
      <c r="D271" s="70"/>
      <c r="E271" s="70"/>
      <c r="F271" s="70"/>
      <c r="G271" s="70"/>
      <c r="H271" s="70"/>
      <c r="I271" s="70"/>
      <c r="J271" s="71"/>
    </row>
    <row r="272" spans="1:10" x14ac:dyDescent="0.25">
      <c r="A272" s="69"/>
      <c r="B272" s="70"/>
      <c r="C272" s="70"/>
      <c r="D272" s="70"/>
      <c r="E272" s="70"/>
      <c r="F272" s="70"/>
      <c r="G272" s="70"/>
      <c r="H272" s="70"/>
      <c r="I272" s="70"/>
      <c r="J272" s="71"/>
    </row>
    <row r="273" spans="1:10" x14ac:dyDescent="0.25">
      <c r="A273" s="69"/>
      <c r="B273" s="12"/>
      <c r="C273" s="12"/>
      <c r="D273" s="70"/>
      <c r="E273" s="12"/>
      <c r="F273" s="12"/>
      <c r="G273" s="12"/>
      <c r="H273" s="12"/>
      <c r="I273" s="12"/>
      <c r="J273" s="71"/>
    </row>
    <row r="274" spans="1:10" x14ac:dyDescent="0.25">
      <c r="A274" s="72"/>
      <c r="B274" s="155" t="s">
        <v>142</v>
      </c>
      <c r="C274" s="155"/>
      <c r="D274" s="73"/>
      <c r="E274" s="155" t="s">
        <v>15</v>
      </c>
      <c r="F274" s="155"/>
      <c r="G274" s="155"/>
      <c r="H274" s="155"/>
      <c r="I274" s="155"/>
      <c r="J274" s="74"/>
    </row>
    <row r="275" spans="1:10" ht="15.75" thickBot="1" x14ac:dyDescent="0.3">
      <c r="A275" s="75"/>
      <c r="B275" s="154" t="s">
        <v>17</v>
      </c>
      <c r="C275" s="154"/>
      <c r="D275" s="76"/>
      <c r="E275" s="154" t="s">
        <v>16</v>
      </c>
      <c r="F275" s="154"/>
      <c r="G275" s="154"/>
      <c r="H275" s="154"/>
      <c r="I275" s="154"/>
      <c r="J275" s="77"/>
    </row>
  </sheetData>
  <mergeCells count="271">
    <mergeCell ref="A184:B184"/>
    <mergeCell ref="A185:B185"/>
    <mergeCell ref="A186:H186"/>
    <mergeCell ref="C74:J75"/>
    <mergeCell ref="A76:B76"/>
    <mergeCell ref="F76:G76"/>
    <mergeCell ref="A77:B77"/>
    <mergeCell ref="F77:G77"/>
    <mergeCell ref="J77:J78"/>
    <mergeCell ref="A79:J79"/>
    <mergeCell ref="A180:J180"/>
    <mergeCell ref="A181:J181"/>
    <mergeCell ref="C96:J97"/>
    <mergeCell ref="A98:B98"/>
    <mergeCell ref="A99:B99"/>
    <mergeCell ref="J99:J101"/>
    <mergeCell ref="A101:H101"/>
    <mergeCell ref="A95:J95"/>
    <mergeCell ref="A102:J102"/>
    <mergeCell ref="C103:J104"/>
    <mergeCell ref="A105:B105"/>
    <mergeCell ref="A106:B106"/>
    <mergeCell ref="J106:J108"/>
    <mergeCell ref="A108:H108"/>
    <mergeCell ref="A32:H32"/>
    <mergeCell ref="J93:J94"/>
    <mergeCell ref="A155:J155"/>
    <mergeCell ref="A218:B218"/>
    <mergeCell ref="A259:B259"/>
    <mergeCell ref="A56:B56"/>
    <mergeCell ref="A57:B57"/>
    <mergeCell ref="A257:B257"/>
    <mergeCell ref="A221:J221"/>
    <mergeCell ref="A222:J222"/>
    <mergeCell ref="C235:J236"/>
    <mergeCell ref="J238:J239"/>
    <mergeCell ref="A239:H239"/>
    <mergeCell ref="A240:J240"/>
    <mergeCell ref="C241:J242"/>
    <mergeCell ref="A243:B243"/>
    <mergeCell ref="J244:J245"/>
    <mergeCell ref="A245:H245"/>
    <mergeCell ref="A232:B232"/>
    <mergeCell ref="J232:J233"/>
    <mergeCell ref="A233:H233"/>
    <mergeCell ref="A187:J187"/>
    <mergeCell ref="J185:J186"/>
    <mergeCell ref="C182:J183"/>
    <mergeCell ref="A49:B49"/>
    <mergeCell ref="C52:J53"/>
    <mergeCell ref="A54:B54"/>
    <mergeCell ref="A58:H58"/>
    <mergeCell ref="A59:J59"/>
    <mergeCell ref="A60:J60"/>
    <mergeCell ref="A61:J61"/>
    <mergeCell ref="J49:J50"/>
    <mergeCell ref="A50:H50"/>
    <mergeCell ref="J55:J58"/>
    <mergeCell ref="A51:J51"/>
    <mergeCell ref="A208:J208"/>
    <mergeCell ref="A209:J209"/>
    <mergeCell ref="C210:J211"/>
    <mergeCell ref="A220:J220"/>
    <mergeCell ref="A192:H192"/>
    <mergeCell ref="A193:J193"/>
    <mergeCell ref="C188:J189"/>
    <mergeCell ref="A190:B190"/>
    <mergeCell ref="J191:J192"/>
    <mergeCell ref="A191:B191"/>
    <mergeCell ref="A204:B204"/>
    <mergeCell ref="A109:J109"/>
    <mergeCell ref="C110:J111"/>
    <mergeCell ref="A112:B112"/>
    <mergeCell ref="J113:J115"/>
    <mergeCell ref="A115:H115"/>
    <mergeCell ref="A116:J116"/>
    <mergeCell ref="C117:J118"/>
    <mergeCell ref="A119:B119"/>
    <mergeCell ref="A120:B120"/>
    <mergeCell ref="J120:J122"/>
    <mergeCell ref="A122:H122"/>
    <mergeCell ref="A121:B121"/>
    <mergeCell ref="A31:B31"/>
    <mergeCell ref="A25:B25"/>
    <mergeCell ref="J25:J26"/>
    <mergeCell ref="A27:J27"/>
    <mergeCell ref="C28:J29"/>
    <mergeCell ref="A30:B30"/>
    <mergeCell ref="C22:J23"/>
    <mergeCell ref="A24:B24"/>
    <mergeCell ref="A11:B11"/>
    <mergeCell ref="J11:J12"/>
    <mergeCell ref="A12:H12"/>
    <mergeCell ref="A26:H26"/>
    <mergeCell ref="A10:B10"/>
    <mergeCell ref="A1:J2"/>
    <mergeCell ref="B3:H3"/>
    <mergeCell ref="A5:J5"/>
    <mergeCell ref="A6:J6"/>
    <mergeCell ref="A7:J7"/>
    <mergeCell ref="C8:J9"/>
    <mergeCell ref="A19:J19"/>
    <mergeCell ref="A20:J20"/>
    <mergeCell ref="F4:I4"/>
    <mergeCell ref="C14:J15"/>
    <mergeCell ref="A16:B16"/>
    <mergeCell ref="A17:B17"/>
    <mergeCell ref="J17:J18"/>
    <mergeCell ref="A18:H18"/>
    <mergeCell ref="A13:J13"/>
    <mergeCell ref="A33:J33"/>
    <mergeCell ref="C34:J35"/>
    <mergeCell ref="A36:B36"/>
    <mergeCell ref="F36:G36"/>
    <mergeCell ref="F37:G37"/>
    <mergeCell ref="C46:J47"/>
    <mergeCell ref="A48:B48"/>
    <mergeCell ref="A39:J39"/>
    <mergeCell ref="A37:B37"/>
    <mergeCell ref="J37:J38"/>
    <mergeCell ref="C40:J41"/>
    <mergeCell ref="A42:B42"/>
    <mergeCell ref="A43:B43"/>
    <mergeCell ref="J43:J44"/>
    <mergeCell ref="A44:H44"/>
    <mergeCell ref="C62:J63"/>
    <mergeCell ref="A55:B55"/>
    <mergeCell ref="C68:J69"/>
    <mergeCell ref="A65:B65"/>
    <mergeCell ref="J65:J66"/>
    <mergeCell ref="A64:B64"/>
    <mergeCell ref="A66:H66"/>
    <mergeCell ref="A67:J67"/>
    <mergeCell ref="A80:J80"/>
    <mergeCell ref="A81:J81"/>
    <mergeCell ref="A82:J82"/>
    <mergeCell ref="A83:J83"/>
    <mergeCell ref="A70:B70"/>
    <mergeCell ref="F70:G70"/>
    <mergeCell ref="A71:B71"/>
    <mergeCell ref="F71:G71"/>
    <mergeCell ref="J71:J72"/>
    <mergeCell ref="A73:J73"/>
    <mergeCell ref="C84:J85"/>
    <mergeCell ref="J87:J88"/>
    <mergeCell ref="A86:B86"/>
    <mergeCell ref="A87:B87"/>
    <mergeCell ref="A88:H88"/>
    <mergeCell ref="A142:J142"/>
    <mergeCell ref="A143:J143"/>
    <mergeCell ref="J153:J154"/>
    <mergeCell ref="A153:B153"/>
    <mergeCell ref="A148:H148"/>
    <mergeCell ref="A149:J149"/>
    <mergeCell ref="C150:J151"/>
    <mergeCell ref="A152:B152"/>
    <mergeCell ref="A154:H154"/>
    <mergeCell ref="A89:J89"/>
    <mergeCell ref="C90:J91"/>
    <mergeCell ref="A92:B92"/>
    <mergeCell ref="A94:H94"/>
    <mergeCell ref="J147:J148"/>
    <mergeCell ref="A147:B147"/>
    <mergeCell ref="C144:J145"/>
    <mergeCell ref="A146:B146"/>
    <mergeCell ref="A93:B93"/>
    <mergeCell ref="A113:B113"/>
    <mergeCell ref="E274:I274"/>
    <mergeCell ref="C223:J224"/>
    <mergeCell ref="A225:B225"/>
    <mergeCell ref="A226:B226"/>
    <mergeCell ref="J226:J227"/>
    <mergeCell ref="A227:H227"/>
    <mergeCell ref="A228:J228"/>
    <mergeCell ref="A213:B213"/>
    <mergeCell ref="A214:B214"/>
    <mergeCell ref="A215:B215"/>
    <mergeCell ref="A217:B217"/>
    <mergeCell ref="A216:B216"/>
    <mergeCell ref="A219:F219"/>
    <mergeCell ref="A246:J246"/>
    <mergeCell ref="C247:J248"/>
    <mergeCell ref="A249:B249"/>
    <mergeCell ref="A250:B250"/>
    <mergeCell ref="A253:J253"/>
    <mergeCell ref="A254:J254"/>
    <mergeCell ref="C255:J256"/>
    <mergeCell ref="A258:B258"/>
    <mergeCell ref="J258:J260"/>
    <mergeCell ref="A260:H260"/>
    <mergeCell ref="A261:J261"/>
    <mergeCell ref="B275:C275"/>
    <mergeCell ref="E275:I275"/>
    <mergeCell ref="A21:J21"/>
    <mergeCell ref="A206:H206"/>
    <mergeCell ref="A207:J207"/>
    <mergeCell ref="A205:B205"/>
    <mergeCell ref="J205:J206"/>
    <mergeCell ref="A200:H200"/>
    <mergeCell ref="A201:J201"/>
    <mergeCell ref="C202:J203"/>
    <mergeCell ref="B274:C274"/>
    <mergeCell ref="J199:J200"/>
    <mergeCell ref="A212:B212"/>
    <mergeCell ref="J250:J251"/>
    <mergeCell ref="A251:H251"/>
    <mergeCell ref="A252:J252"/>
    <mergeCell ref="A199:B199"/>
    <mergeCell ref="A244:B244"/>
    <mergeCell ref="A194:J194"/>
    <mergeCell ref="A195:J195"/>
    <mergeCell ref="C196:J197"/>
    <mergeCell ref="A198:B198"/>
    <mergeCell ref="A237:B237"/>
    <mergeCell ref="A238:B238"/>
    <mergeCell ref="A123:J123"/>
    <mergeCell ref="C124:J125"/>
    <mergeCell ref="A126:B126"/>
    <mergeCell ref="A127:B127"/>
    <mergeCell ref="J127:J128"/>
    <mergeCell ref="A128:H128"/>
    <mergeCell ref="A129:J129"/>
    <mergeCell ref="C130:J131"/>
    <mergeCell ref="A132:B132"/>
    <mergeCell ref="A133:B133"/>
    <mergeCell ref="J133:J134"/>
    <mergeCell ref="A134:H134"/>
    <mergeCell ref="A135:J135"/>
    <mergeCell ref="C136:J137"/>
    <mergeCell ref="A138:B138"/>
    <mergeCell ref="A139:B139"/>
    <mergeCell ref="J139:J140"/>
    <mergeCell ref="A140:H140"/>
    <mergeCell ref="C168:J169"/>
    <mergeCell ref="A170:B170"/>
    <mergeCell ref="A171:B171"/>
    <mergeCell ref="J171:J172"/>
    <mergeCell ref="A172:H172"/>
    <mergeCell ref="A141:J141"/>
    <mergeCell ref="C156:J157"/>
    <mergeCell ref="A158:B158"/>
    <mergeCell ref="A159:B159"/>
    <mergeCell ref="J159:J160"/>
    <mergeCell ref="A160:H160"/>
    <mergeCell ref="A161:J161"/>
    <mergeCell ref="C162:J163"/>
    <mergeCell ref="A164:B164"/>
    <mergeCell ref="A262:J262"/>
    <mergeCell ref="A263:J263"/>
    <mergeCell ref="C264:J265"/>
    <mergeCell ref="A266:B266"/>
    <mergeCell ref="A267:B267"/>
    <mergeCell ref="J267:J268"/>
    <mergeCell ref="A268:H268"/>
    <mergeCell ref="A269:J269"/>
    <mergeCell ref="A100:B100"/>
    <mergeCell ref="A107:B107"/>
    <mergeCell ref="A114:B114"/>
    <mergeCell ref="A173:J173"/>
    <mergeCell ref="C174:J175"/>
    <mergeCell ref="A176:B176"/>
    <mergeCell ref="A177:B177"/>
    <mergeCell ref="J177:J178"/>
    <mergeCell ref="A178:H178"/>
    <mergeCell ref="A179:J179"/>
    <mergeCell ref="C229:J230"/>
    <mergeCell ref="A231:B231"/>
    <mergeCell ref="A165:B165"/>
    <mergeCell ref="J165:J166"/>
    <mergeCell ref="A166:H166"/>
    <mergeCell ref="A167:J167"/>
  </mergeCells>
  <pageMargins left="0.25" right="0.25" top="0.75" bottom="0.75" header="0.3" footer="0.3"/>
  <pageSetup paperSize="9" scale="52" fitToHeight="0" orientation="portrait" r:id="rId1"/>
  <rowBreaks count="1" manualBreakCount="1">
    <brk id="79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49119F-4329-4764-81A5-0335BEA799EA}">
  <sheetPr>
    <pageSetUpPr fitToPage="1"/>
  </sheetPr>
  <dimension ref="A1:H60"/>
  <sheetViews>
    <sheetView view="pageBreakPreview" zoomScale="85" zoomScaleNormal="85" zoomScaleSheetLayoutView="85" workbookViewId="0">
      <selection activeCell="M4" sqref="M4"/>
    </sheetView>
  </sheetViews>
  <sheetFormatPr defaultRowHeight="15" x14ac:dyDescent="0.25"/>
  <cols>
    <col min="1" max="1" width="16.140625" customWidth="1"/>
    <col min="2" max="7" width="20.5703125" customWidth="1"/>
    <col min="8" max="8" width="12" customWidth="1"/>
  </cols>
  <sheetData>
    <row r="1" spans="1:8" ht="47.25" customHeight="1" x14ac:dyDescent="0.25">
      <c r="A1" s="220" t="s">
        <v>246</v>
      </c>
      <c r="B1" s="221"/>
      <c r="C1" s="221"/>
      <c r="D1" s="221"/>
      <c r="E1" s="221"/>
      <c r="F1" s="221"/>
      <c r="G1" s="221"/>
      <c r="H1" s="222"/>
    </row>
    <row r="2" spans="1:8" x14ac:dyDescent="0.25">
      <c r="A2" s="107" t="s">
        <v>1</v>
      </c>
      <c r="B2" s="108" t="s">
        <v>75</v>
      </c>
      <c r="C2" s="109"/>
      <c r="D2" s="109"/>
      <c r="E2" s="109"/>
      <c r="F2" s="109"/>
      <c r="G2" s="109"/>
      <c r="H2" s="110"/>
    </row>
    <row r="3" spans="1:8" x14ac:dyDescent="0.25">
      <c r="A3" s="107" t="s">
        <v>3</v>
      </c>
      <c r="B3" s="108" t="s">
        <v>247</v>
      </c>
      <c r="C3" s="109"/>
      <c r="D3" s="109"/>
      <c r="E3" s="109"/>
      <c r="F3" s="109"/>
      <c r="G3" s="109"/>
      <c r="H3" s="110"/>
    </row>
    <row r="4" spans="1:8" x14ac:dyDescent="0.25">
      <c r="A4" s="111" t="s">
        <v>2</v>
      </c>
      <c r="B4" s="108" t="s">
        <v>248</v>
      </c>
      <c r="C4" s="109"/>
      <c r="D4" s="109"/>
      <c r="E4" s="109"/>
      <c r="F4" s="109"/>
      <c r="G4" s="109"/>
      <c r="H4" s="110"/>
    </row>
    <row r="60" ht="48" customHeight="1" x14ac:dyDescent="0.25"/>
  </sheetData>
  <mergeCells count="1">
    <mergeCell ref="A1:H1"/>
  </mergeCells>
  <pageMargins left="0.7" right="0.7" top="0.75" bottom="0.75" header="0.3" footer="0.3"/>
  <pageSetup paperSize="9" scale="57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98"/>
  <sheetViews>
    <sheetView zoomScale="110" zoomScaleNormal="110" zoomScaleSheetLayoutView="145" workbookViewId="0">
      <selection activeCell="B96" sqref="B96"/>
    </sheetView>
  </sheetViews>
  <sheetFormatPr defaultRowHeight="15" x14ac:dyDescent="0.25"/>
  <cols>
    <col min="1" max="1" width="13.28515625" customWidth="1"/>
    <col min="2" max="2" width="60" bestFit="1" customWidth="1"/>
    <col min="3" max="3" width="13.140625" customWidth="1"/>
    <col min="4" max="4" width="14.42578125" customWidth="1"/>
    <col min="5" max="5" width="10.140625" customWidth="1"/>
    <col min="6" max="6" width="11" customWidth="1"/>
    <col min="7" max="7" width="11.140625" customWidth="1"/>
    <col min="8" max="8" width="11.5703125" customWidth="1"/>
    <col min="9" max="9" width="12.42578125" customWidth="1"/>
    <col min="10" max="10" width="8.28515625" customWidth="1"/>
  </cols>
  <sheetData>
    <row r="1" spans="1:7" x14ac:dyDescent="0.25">
      <c r="A1" s="223" t="s">
        <v>31</v>
      </c>
      <c r="B1" s="224"/>
      <c r="C1" s="224"/>
      <c r="D1" s="225"/>
    </row>
    <row r="2" spans="1:7" x14ac:dyDescent="0.25">
      <c r="A2" s="21" t="s">
        <v>18</v>
      </c>
      <c r="B2" s="22" t="s">
        <v>5</v>
      </c>
      <c r="C2" s="22" t="s">
        <v>19</v>
      </c>
      <c r="D2" s="23" t="s">
        <v>11</v>
      </c>
    </row>
    <row r="3" spans="1:7" x14ac:dyDescent="0.25">
      <c r="A3" s="226" t="s">
        <v>33</v>
      </c>
      <c r="B3" s="24" t="s">
        <v>21</v>
      </c>
      <c r="C3" s="25" t="s">
        <v>22</v>
      </c>
      <c r="D3" s="29">
        <v>526.9</v>
      </c>
    </row>
    <row r="4" spans="1:7" x14ac:dyDescent="0.25">
      <c r="A4" s="227"/>
      <c r="B4" t="s">
        <v>23</v>
      </c>
      <c r="C4" s="26" t="s">
        <v>22</v>
      </c>
      <c r="D4" s="30">
        <v>439.98</v>
      </c>
    </row>
    <row r="5" spans="1:7" x14ac:dyDescent="0.25">
      <c r="A5" s="227"/>
      <c r="B5" t="s">
        <v>24</v>
      </c>
      <c r="C5" s="26" t="s">
        <v>25</v>
      </c>
      <c r="D5" s="30">
        <f>72.87+99.83</f>
        <v>172.7</v>
      </c>
    </row>
    <row r="6" spans="1:7" x14ac:dyDescent="0.25">
      <c r="A6" s="227"/>
      <c r="B6" t="s">
        <v>34</v>
      </c>
      <c r="C6" s="26" t="s">
        <v>25</v>
      </c>
      <c r="D6" s="30">
        <v>5.3</v>
      </c>
    </row>
    <row r="7" spans="1:7" x14ac:dyDescent="0.25">
      <c r="A7" s="227"/>
      <c r="B7" t="s">
        <v>35</v>
      </c>
      <c r="C7" s="26" t="s">
        <v>25</v>
      </c>
      <c r="D7" s="30">
        <v>27.16</v>
      </c>
    </row>
    <row r="8" spans="1:7" x14ac:dyDescent="0.25">
      <c r="A8" s="228"/>
      <c r="B8" s="27" t="s">
        <v>26</v>
      </c>
      <c r="C8" s="28" t="s">
        <v>25</v>
      </c>
      <c r="D8" s="31">
        <v>99.83</v>
      </c>
    </row>
    <row r="9" spans="1:7" x14ac:dyDescent="0.25">
      <c r="A9" s="226" t="s">
        <v>36</v>
      </c>
      <c r="B9" t="s">
        <v>21</v>
      </c>
      <c r="C9" s="26" t="s">
        <v>22</v>
      </c>
      <c r="D9" s="30">
        <v>265.77999999999997</v>
      </c>
    </row>
    <row r="10" spans="1:7" x14ac:dyDescent="0.25">
      <c r="A10" s="227"/>
      <c r="B10" t="s">
        <v>23</v>
      </c>
      <c r="C10" s="26" t="s">
        <v>22</v>
      </c>
      <c r="D10" s="30">
        <v>206.57</v>
      </c>
    </row>
    <row r="11" spans="1:7" x14ac:dyDescent="0.25">
      <c r="A11" s="227"/>
      <c r="B11" t="s">
        <v>24</v>
      </c>
      <c r="C11" s="26" t="s">
        <v>25</v>
      </c>
      <c r="D11" s="30">
        <f>24.72+72.93</f>
        <v>97.65</v>
      </c>
    </row>
    <row r="12" spans="1:7" x14ac:dyDescent="0.25">
      <c r="A12" s="227"/>
      <c r="B12" t="s">
        <v>35</v>
      </c>
      <c r="C12" s="26" t="s">
        <v>25</v>
      </c>
      <c r="D12" s="30">
        <v>48.06</v>
      </c>
    </row>
    <row r="13" spans="1:7" x14ac:dyDescent="0.25">
      <c r="A13" s="227"/>
      <c r="B13" t="s">
        <v>34</v>
      </c>
      <c r="C13" s="26" t="s">
        <v>25</v>
      </c>
      <c r="D13" s="30">
        <v>3.6</v>
      </c>
    </row>
    <row r="14" spans="1:7" x14ac:dyDescent="0.25">
      <c r="A14" s="228"/>
      <c r="B14" s="27" t="s">
        <v>26</v>
      </c>
      <c r="C14" s="28" t="s">
        <v>25</v>
      </c>
      <c r="D14" s="31">
        <v>72.930000000000007</v>
      </c>
    </row>
    <row r="15" spans="1:7" x14ac:dyDescent="0.25">
      <c r="A15" s="229" t="s">
        <v>64</v>
      </c>
      <c r="B15" s="24" t="s">
        <v>21</v>
      </c>
      <c r="C15" s="25" t="s">
        <v>22</v>
      </c>
      <c r="D15" s="29">
        <v>652.38</v>
      </c>
      <c r="F15" s="226" t="s">
        <v>46</v>
      </c>
      <c r="G15" s="232"/>
    </row>
    <row r="16" spans="1:7" x14ac:dyDescent="0.25">
      <c r="A16" s="230"/>
      <c r="B16" t="s">
        <v>23</v>
      </c>
      <c r="C16" s="26" t="s">
        <v>22</v>
      </c>
      <c r="D16" s="30">
        <v>525.66</v>
      </c>
      <c r="F16" s="227"/>
      <c r="G16" s="233"/>
    </row>
    <row r="17" spans="1:7" ht="15" customHeight="1" x14ac:dyDescent="0.25">
      <c r="A17" s="230"/>
      <c r="B17" t="s">
        <v>24</v>
      </c>
      <c r="C17" s="26" t="s">
        <v>25</v>
      </c>
      <c r="D17" s="30">
        <f>143.65+137.95</f>
        <v>281.60000000000002</v>
      </c>
      <c r="F17" s="227"/>
      <c r="G17" s="233"/>
    </row>
    <row r="18" spans="1:7" x14ac:dyDescent="0.25">
      <c r="A18" s="231"/>
      <c r="B18" s="27" t="s">
        <v>26</v>
      </c>
      <c r="C18" s="28" t="s">
        <v>25</v>
      </c>
      <c r="D18" s="31">
        <f>13.44+77.09+38.36+10.47</f>
        <v>139.35999999999999</v>
      </c>
      <c r="F18" s="47">
        <f>D16+D10+D4</f>
        <v>1172.21</v>
      </c>
      <c r="G18" s="48" t="s">
        <v>22</v>
      </c>
    </row>
    <row r="19" spans="1:7" ht="3.75" customHeight="1" x14ac:dyDescent="0.25"/>
    <row r="20" spans="1:7" x14ac:dyDescent="0.25">
      <c r="A20" s="223" t="s">
        <v>32</v>
      </c>
      <c r="B20" s="224"/>
      <c r="C20" s="224"/>
      <c r="D20" s="225"/>
    </row>
    <row r="21" spans="1:7" x14ac:dyDescent="0.25">
      <c r="A21" s="21" t="s">
        <v>18</v>
      </c>
      <c r="B21" s="22" t="s">
        <v>5</v>
      </c>
      <c r="C21" s="22" t="s">
        <v>19</v>
      </c>
      <c r="D21" s="23" t="s">
        <v>11</v>
      </c>
    </row>
    <row r="22" spans="1:7" x14ac:dyDescent="0.25">
      <c r="A22" s="226" t="s">
        <v>20</v>
      </c>
      <c r="B22" s="24" t="s">
        <v>21</v>
      </c>
      <c r="C22" s="25" t="s">
        <v>22</v>
      </c>
      <c r="D22" s="29">
        <v>1443.15</v>
      </c>
    </row>
    <row r="23" spans="1:7" x14ac:dyDescent="0.25">
      <c r="A23" s="227"/>
      <c r="B23" t="s">
        <v>23</v>
      </c>
      <c r="C23" s="26" t="s">
        <v>22</v>
      </c>
      <c r="D23" s="30">
        <v>1224.6600000000001</v>
      </c>
    </row>
    <row r="24" spans="1:7" x14ac:dyDescent="0.25">
      <c r="A24" s="227"/>
      <c r="B24" t="s">
        <v>24</v>
      </c>
      <c r="C24" s="26" t="s">
        <v>25</v>
      </c>
      <c r="D24" s="30">
        <f>240.66+248.7</f>
        <v>489.36</v>
      </c>
    </row>
    <row r="25" spans="1:7" x14ac:dyDescent="0.25">
      <c r="A25" s="228"/>
      <c r="B25" s="27" t="s">
        <v>26</v>
      </c>
      <c r="C25" s="28" t="s">
        <v>25</v>
      </c>
      <c r="D25" s="31">
        <f>12.52+68.32+10.58+100.49+17.36+13.52+20.87</f>
        <v>243.66</v>
      </c>
    </row>
    <row r="26" spans="1:7" x14ac:dyDescent="0.25">
      <c r="A26" s="226" t="s">
        <v>27</v>
      </c>
      <c r="B26" t="s">
        <v>21</v>
      </c>
      <c r="C26" s="26" t="s">
        <v>22</v>
      </c>
      <c r="D26" s="30">
        <v>1168.83</v>
      </c>
    </row>
    <row r="27" spans="1:7" x14ac:dyDescent="0.25">
      <c r="A27" s="227"/>
      <c r="B27" t="s">
        <v>23</v>
      </c>
      <c r="C27" s="26" t="s">
        <v>22</v>
      </c>
      <c r="D27" s="30">
        <v>931.14</v>
      </c>
    </row>
    <row r="28" spans="1:7" x14ac:dyDescent="0.25">
      <c r="A28" s="227"/>
      <c r="B28" t="s">
        <v>24</v>
      </c>
      <c r="C28" s="26" t="s">
        <v>25</v>
      </c>
      <c r="D28" s="30">
        <f>266.86+260.31+2.39</f>
        <v>529.56000000000006</v>
      </c>
    </row>
    <row r="29" spans="1:7" x14ac:dyDescent="0.25">
      <c r="A29" s="228"/>
      <c r="B29" s="27" t="s">
        <v>26</v>
      </c>
      <c r="C29" s="28" t="s">
        <v>25</v>
      </c>
      <c r="D29" s="31">
        <f>55.01+66.72+48.45+31.22+9.1+52.37</f>
        <v>262.87</v>
      </c>
    </row>
    <row r="30" spans="1:7" x14ac:dyDescent="0.25">
      <c r="A30" s="226" t="s">
        <v>28</v>
      </c>
      <c r="B30" s="24" t="s">
        <v>21</v>
      </c>
      <c r="C30" s="25" t="s">
        <v>22</v>
      </c>
      <c r="D30" s="29">
        <v>367.71</v>
      </c>
    </row>
    <row r="31" spans="1:7" x14ac:dyDescent="0.25">
      <c r="A31" s="227"/>
      <c r="B31" t="s">
        <v>23</v>
      </c>
      <c r="C31" s="26" t="s">
        <v>22</v>
      </c>
      <c r="D31" s="30">
        <v>278.27</v>
      </c>
    </row>
    <row r="32" spans="1:7" x14ac:dyDescent="0.25">
      <c r="A32" s="227"/>
      <c r="B32" t="s">
        <v>24</v>
      </c>
      <c r="C32" s="26" t="s">
        <v>25</v>
      </c>
      <c r="D32" s="30">
        <f>99.61+99.15</f>
        <v>198.76</v>
      </c>
    </row>
    <row r="33" spans="1:7" x14ac:dyDescent="0.25">
      <c r="A33" s="228"/>
      <c r="B33" s="27" t="s">
        <v>26</v>
      </c>
      <c r="C33" s="28" t="s">
        <v>25</v>
      </c>
      <c r="D33" s="31">
        <f>12.99+19.29+12.86+8.57+19.41+17.08+8.5</f>
        <v>98.7</v>
      </c>
    </row>
    <row r="34" spans="1:7" x14ac:dyDescent="0.25">
      <c r="A34" s="226" t="s">
        <v>29</v>
      </c>
      <c r="B34" t="s">
        <v>21</v>
      </c>
      <c r="C34" s="26" t="s">
        <v>22</v>
      </c>
      <c r="D34" s="30">
        <v>1165.04</v>
      </c>
    </row>
    <row r="35" spans="1:7" x14ac:dyDescent="0.25">
      <c r="A35" s="227"/>
      <c r="B35" t="s">
        <v>23</v>
      </c>
      <c r="C35" s="26" t="s">
        <v>22</v>
      </c>
      <c r="D35" s="30">
        <v>1012.54</v>
      </c>
      <c r="F35" s="226" t="s">
        <v>46</v>
      </c>
      <c r="G35" s="232"/>
    </row>
    <row r="36" spans="1:7" x14ac:dyDescent="0.25">
      <c r="A36" s="227"/>
      <c r="B36" t="s">
        <v>24</v>
      </c>
      <c r="C36" s="26" t="s">
        <v>25</v>
      </c>
      <c r="D36" s="30">
        <f>49.91+189.3+64.92+38.75</f>
        <v>342.88</v>
      </c>
      <c r="F36" s="227"/>
      <c r="G36" s="233"/>
    </row>
    <row r="37" spans="1:7" x14ac:dyDescent="0.25">
      <c r="A37" s="227"/>
      <c r="B37" t="s">
        <v>59</v>
      </c>
      <c r="C37" s="26" t="s">
        <v>25</v>
      </c>
      <c r="D37" s="30">
        <v>16.8</v>
      </c>
      <c r="F37" s="227"/>
      <c r="G37" s="233"/>
    </row>
    <row r="38" spans="1:7" x14ac:dyDescent="0.25">
      <c r="A38" s="228"/>
      <c r="B38" s="27" t="s">
        <v>26</v>
      </c>
      <c r="C38" s="28" t="s">
        <v>25</v>
      </c>
      <c r="D38" s="31">
        <f>37.76+12.98+15.68+14.18+66.18+45.32</f>
        <v>192.1</v>
      </c>
      <c r="F38" s="47">
        <f>D35+D31+D27+D23</f>
        <v>3446.6099999999997</v>
      </c>
      <c r="G38" s="48" t="s">
        <v>22</v>
      </c>
    </row>
    <row r="39" spans="1:7" ht="4.5" customHeight="1" x14ac:dyDescent="0.25"/>
    <row r="40" spans="1:7" x14ac:dyDescent="0.25">
      <c r="A40" s="223" t="s">
        <v>37</v>
      </c>
      <c r="B40" s="224"/>
      <c r="C40" s="224"/>
      <c r="D40" s="225"/>
    </row>
    <row r="41" spans="1:7" x14ac:dyDescent="0.25">
      <c r="A41" s="21" t="s">
        <v>18</v>
      </c>
      <c r="B41" s="22" t="s">
        <v>5</v>
      </c>
      <c r="C41" s="22" t="s">
        <v>19</v>
      </c>
      <c r="D41" s="23" t="s">
        <v>11</v>
      </c>
    </row>
    <row r="42" spans="1:7" x14ac:dyDescent="0.25">
      <c r="A42" s="226" t="s">
        <v>38</v>
      </c>
      <c r="B42" s="24" t="s">
        <v>21</v>
      </c>
      <c r="C42" s="25" t="s">
        <v>22</v>
      </c>
      <c r="D42" s="29">
        <v>983.28</v>
      </c>
    </row>
    <row r="43" spans="1:7" x14ac:dyDescent="0.25">
      <c r="A43" s="227"/>
      <c r="B43" t="s">
        <v>23</v>
      </c>
      <c r="C43" s="26" t="s">
        <v>22</v>
      </c>
      <c r="D43" s="30">
        <v>825.75</v>
      </c>
      <c r="F43" s="226" t="s">
        <v>46</v>
      </c>
      <c r="G43" s="232"/>
    </row>
    <row r="44" spans="1:7" x14ac:dyDescent="0.25">
      <c r="A44" s="227"/>
      <c r="B44" t="s">
        <v>24</v>
      </c>
      <c r="C44" s="26" t="s">
        <v>25</v>
      </c>
      <c r="D44" s="30">
        <f>130.32+66.22+98.76+46.31</f>
        <v>341.61</v>
      </c>
      <c r="F44" s="227"/>
      <c r="G44" s="233"/>
    </row>
    <row r="45" spans="1:7" x14ac:dyDescent="0.25">
      <c r="A45" s="227"/>
      <c r="B45" t="s">
        <v>34</v>
      </c>
      <c r="C45" s="26" t="s">
        <v>25</v>
      </c>
      <c r="D45" s="30">
        <f>4.24+5.41+4.55+5.12+4.98+4.98</f>
        <v>29.28</v>
      </c>
      <c r="F45" s="227"/>
      <c r="G45" s="233"/>
    </row>
    <row r="46" spans="1:7" x14ac:dyDescent="0.25">
      <c r="A46" s="228"/>
      <c r="B46" s="27" t="s">
        <v>26</v>
      </c>
      <c r="C46" s="28" t="s">
        <v>25</v>
      </c>
      <c r="D46" s="31">
        <f>46.31+98.76+29.07</f>
        <v>174.14</v>
      </c>
      <c r="F46" s="47">
        <f>D43</f>
        <v>825.75</v>
      </c>
      <c r="G46" s="48" t="s">
        <v>22</v>
      </c>
    </row>
    <row r="47" spans="1:7" ht="6" customHeight="1" x14ac:dyDescent="0.25"/>
    <row r="48" spans="1:7" x14ac:dyDescent="0.25">
      <c r="A48" s="223" t="s">
        <v>41</v>
      </c>
      <c r="B48" s="224"/>
      <c r="C48" s="224"/>
      <c r="D48" s="225"/>
    </row>
    <row r="49" spans="1:7" x14ac:dyDescent="0.25">
      <c r="A49" s="21" t="s">
        <v>18</v>
      </c>
      <c r="B49" s="22" t="s">
        <v>5</v>
      </c>
      <c r="C49" s="22" t="s">
        <v>19</v>
      </c>
      <c r="D49" s="23" t="s">
        <v>11</v>
      </c>
    </row>
    <row r="50" spans="1:7" x14ac:dyDescent="0.25">
      <c r="A50" s="226" t="s">
        <v>40</v>
      </c>
      <c r="B50" s="24" t="s">
        <v>21</v>
      </c>
      <c r="C50" s="25" t="s">
        <v>22</v>
      </c>
      <c r="D50" s="29">
        <v>499.11</v>
      </c>
    </row>
    <row r="51" spans="1:7" x14ac:dyDescent="0.25">
      <c r="A51" s="227"/>
      <c r="B51" t="s">
        <v>23</v>
      </c>
      <c r="C51" s="26" t="s">
        <v>22</v>
      </c>
      <c r="D51" s="30">
        <v>432.7</v>
      </c>
    </row>
    <row r="52" spans="1:7" x14ac:dyDescent="0.25">
      <c r="A52" s="227"/>
      <c r="B52" t="s">
        <v>24</v>
      </c>
      <c r="C52" s="26" t="s">
        <v>25</v>
      </c>
      <c r="D52" s="30">
        <f>10.92+34.28+26.67+10.92+34.28+26.67</f>
        <v>143.74</v>
      </c>
    </row>
    <row r="53" spans="1:7" x14ac:dyDescent="0.25">
      <c r="A53" s="227"/>
      <c r="B53" t="s">
        <v>34</v>
      </c>
      <c r="C53" s="26" t="s">
        <v>25</v>
      </c>
      <c r="D53" s="30">
        <v>6.9</v>
      </c>
    </row>
    <row r="54" spans="1:7" x14ac:dyDescent="0.25">
      <c r="A54" s="228"/>
      <c r="B54" s="27" t="s">
        <v>26</v>
      </c>
      <c r="C54" s="28" t="s">
        <v>25</v>
      </c>
      <c r="D54" s="31">
        <f>10.92+34.28+26.67</f>
        <v>71.87</v>
      </c>
    </row>
    <row r="55" spans="1:7" x14ac:dyDescent="0.25">
      <c r="A55" s="226" t="s">
        <v>39</v>
      </c>
      <c r="B55" s="24" t="s">
        <v>21</v>
      </c>
      <c r="C55" s="25" t="s">
        <v>22</v>
      </c>
      <c r="D55" s="29">
        <v>1447.03</v>
      </c>
    </row>
    <row r="56" spans="1:7" x14ac:dyDescent="0.25">
      <c r="A56" s="227"/>
      <c r="B56" t="s">
        <v>23</v>
      </c>
      <c r="C56" s="26" t="s">
        <v>22</v>
      </c>
      <c r="D56" s="30">
        <v>1152.32</v>
      </c>
      <c r="F56" s="226" t="s">
        <v>46</v>
      </c>
      <c r="G56" s="232"/>
    </row>
    <row r="57" spans="1:7" x14ac:dyDescent="0.25">
      <c r="A57" s="227"/>
      <c r="B57" t="s">
        <v>24</v>
      </c>
      <c r="C57" s="26" t="s">
        <v>25</v>
      </c>
      <c r="D57" s="30">
        <f>76.34+126.48+76.25+133.04+121.91+119.48</f>
        <v>653.5</v>
      </c>
      <c r="F57" s="227"/>
      <c r="G57" s="233"/>
    </row>
    <row r="58" spans="1:7" x14ac:dyDescent="0.25">
      <c r="A58" s="227"/>
      <c r="B58" t="s">
        <v>34</v>
      </c>
      <c r="C58" s="26" t="s">
        <v>25</v>
      </c>
      <c r="D58" s="30">
        <f>9.65+4.3</f>
        <v>13.95</v>
      </c>
      <c r="F58" s="227"/>
      <c r="G58" s="233"/>
    </row>
    <row r="59" spans="1:7" x14ac:dyDescent="0.25">
      <c r="A59" s="228"/>
      <c r="B59" s="27" t="s">
        <v>26</v>
      </c>
      <c r="C59" s="28" t="s">
        <v>25</v>
      </c>
      <c r="D59" s="31">
        <f>76.25+133.04+121.91</f>
        <v>331.2</v>
      </c>
      <c r="F59" s="47">
        <f>D56+D51</f>
        <v>1585.02</v>
      </c>
      <c r="G59" s="48" t="s">
        <v>22</v>
      </c>
    </row>
    <row r="60" spans="1:7" ht="6.75" customHeight="1" x14ac:dyDescent="0.25"/>
    <row r="61" spans="1:7" x14ac:dyDescent="0.25">
      <c r="A61" s="223" t="s">
        <v>42</v>
      </c>
      <c r="B61" s="224"/>
      <c r="C61" s="224"/>
      <c r="D61" s="225"/>
    </row>
    <row r="62" spans="1:7" x14ac:dyDescent="0.25">
      <c r="A62" s="21" t="s">
        <v>18</v>
      </c>
      <c r="B62" s="22" t="s">
        <v>5</v>
      </c>
      <c r="C62" s="22" t="s">
        <v>19</v>
      </c>
      <c r="D62" s="23" t="s">
        <v>11</v>
      </c>
    </row>
    <row r="63" spans="1:7" x14ac:dyDescent="0.25">
      <c r="A63" s="226" t="s">
        <v>43</v>
      </c>
      <c r="B63" s="24" t="s">
        <v>21</v>
      </c>
      <c r="C63" s="25" t="s">
        <v>22</v>
      </c>
      <c r="D63" s="29">
        <v>403.87</v>
      </c>
    </row>
    <row r="64" spans="1:7" x14ac:dyDescent="0.25">
      <c r="A64" s="227"/>
      <c r="B64" t="s">
        <v>23</v>
      </c>
      <c r="C64" s="26" t="s">
        <v>22</v>
      </c>
      <c r="D64" s="30">
        <v>343.28</v>
      </c>
    </row>
    <row r="65" spans="1:10" x14ac:dyDescent="0.25">
      <c r="A65" s="227"/>
      <c r="B65" t="s">
        <v>24</v>
      </c>
      <c r="C65" s="26" t="s">
        <v>25</v>
      </c>
      <c r="D65" s="30">
        <f>66.37+68.01</f>
        <v>134.38</v>
      </c>
    </row>
    <row r="66" spans="1:10" x14ac:dyDescent="0.25">
      <c r="A66" s="228"/>
      <c r="B66" s="27" t="s">
        <v>26</v>
      </c>
      <c r="C66" s="28" t="s">
        <v>25</v>
      </c>
      <c r="D66" s="31">
        <v>68.010000000000005</v>
      </c>
    </row>
    <row r="67" spans="1:10" x14ac:dyDescent="0.25">
      <c r="A67" s="226" t="s">
        <v>44</v>
      </c>
      <c r="B67" s="24" t="s">
        <v>21</v>
      </c>
      <c r="C67" s="25" t="s">
        <v>22</v>
      </c>
      <c r="D67" s="29">
        <v>1232.81</v>
      </c>
    </row>
    <row r="68" spans="1:10" x14ac:dyDescent="0.25">
      <c r="A68" s="227"/>
      <c r="B68" t="s">
        <v>23</v>
      </c>
      <c r="C68" s="26" t="s">
        <v>22</v>
      </c>
      <c r="D68" s="30">
        <v>1025.52</v>
      </c>
    </row>
    <row r="69" spans="1:10" x14ac:dyDescent="0.25">
      <c r="A69" s="227"/>
      <c r="B69" t="s">
        <v>24</v>
      </c>
      <c r="C69" s="26" t="s">
        <v>25</v>
      </c>
      <c r="D69" s="30">
        <f>46.7+46.06+95.77+96.97+85.96+84.81</f>
        <v>456.27</v>
      </c>
    </row>
    <row r="70" spans="1:10" x14ac:dyDescent="0.25">
      <c r="A70" s="227"/>
      <c r="B70" t="s">
        <v>34</v>
      </c>
      <c r="C70" s="26" t="s">
        <v>25</v>
      </c>
      <c r="D70" s="30">
        <f>4.5+6.69</f>
        <v>11.190000000000001</v>
      </c>
    </row>
    <row r="71" spans="1:10" x14ac:dyDescent="0.25">
      <c r="A71" s="228"/>
      <c r="B71" s="27" t="s">
        <v>26</v>
      </c>
      <c r="C71" s="28" t="s">
        <v>25</v>
      </c>
      <c r="D71" s="31">
        <v>235.3</v>
      </c>
    </row>
    <row r="72" spans="1:10" ht="15" customHeight="1" x14ac:dyDescent="0.25">
      <c r="A72" s="226" t="s">
        <v>45</v>
      </c>
      <c r="B72" s="24" t="s">
        <v>21</v>
      </c>
      <c r="C72" s="25" t="s">
        <v>22</v>
      </c>
      <c r="D72" s="29">
        <v>595.07000000000005</v>
      </c>
    </row>
    <row r="73" spans="1:10" x14ac:dyDescent="0.25">
      <c r="A73" s="227"/>
      <c r="B73" t="s">
        <v>23</v>
      </c>
      <c r="C73" s="26" t="s">
        <v>22</v>
      </c>
      <c r="D73" s="30">
        <v>571.85</v>
      </c>
      <c r="F73" s="226" t="s">
        <v>46</v>
      </c>
      <c r="G73" s="232"/>
    </row>
    <row r="74" spans="1:10" x14ac:dyDescent="0.25">
      <c r="A74" s="227"/>
      <c r="B74" t="s">
        <v>24</v>
      </c>
      <c r="C74" s="26" t="s">
        <v>25</v>
      </c>
      <c r="D74" s="30">
        <f>10.47+9.4+24.04+6.43</f>
        <v>50.339999999999996</v>
      </c>
      <c r="F74" s="227"/>
      <c r="G74" s="233"/>
    </row>
    <row r="75" spans="1:10" x14ac:dyDescent="0.25">
      <c r="A75" s="227"/>
      <c r="B75" t="s">
        <v>34</v>
      </c>
      <c r="C75" s="26" t="s">
        <v>25</v>
      </c>
      <c r="D75" s="30">
        <f>5.26+7.49+2.15</f>
        <v>14.9</v>
      </c>
      <c r="F75" s="227"/>
      <c r="G75" s="233"/>
    </row>
    <row r="76" spans="1:10" x14ac:dyDescent="0.25">
      <c r="A76" s="228"/>
      <c r="B76" s="27" t="s">
        <v>26</v>
      </c>
      <c r="C76" s="28" t="s">
        <v>25</v>
      </c>
      <c r="D76" s="31">
        <f>10.47+9.4+24.04+11.11</f>
        <v>55.019999999999996</v>
      </c>
      <c r="F76" s="47">
        <f>D68+D64+D73</f>
        <v>1940.65</v>
      </c>
      <c r="G76" s="48" t="s">
        <v>22</v>
      </c>
    </row>
    <row r="78" spans="1:10" ht="19.5" customHeight="1" x14ac:dyDescent="0.25">
      <c r="A78" s="223" t="s">
        <v>49</v>
      </c>
      <c r="B78" s="224"/>
      <c r="C78" s="224"/>
      <c r="D78" s="224"/>
      <c r="E78" s="224"/>
      <c r="F78" s="224"/>
      <c r="G78" s="224"/>
      <c r="H78" s="224"/>
      <c r="I78" s="224"/>
      <c r="J78" s="225"/>
    </row>
    <row r="79" spans="1:10" ht="36" x14ac:dyDescent="0.25">
      <c r="A79" s="33" t="s">
        <v>58</v>
      </c>
      <c r="B79" s="33" t="s">
        <v>18</v>
      </c>
      <c r="C79" s="238" t="s">
        <v>50</v>
      </c>
      <c r="D79" s="238"/>
      <c r="E79" s="34" t="s">
        <v>54</v>
      </c>
      <c r="F79" s="34" t="s">
        <v>57</v>
      </c>
      <c r="G79" s="34" t="s">
        <v>56</v>
      </c>
      <c r="H79" s="34" t="s">
        <v>24</v>
      </c>
      <c r="I79" s="34" t="s">
        <v>59</v>
      </c>
      <c r="J79" s="34" t="s">
        <v>60</v>
      </c>
    </row>
    <row r="80" spans="1:10" x14ac:dyDescent="0.25">
      <c r="A80" s="35">
        <v>1</v>
      </c>
      <c r="B80" s="36" t="str">
        <f>A3</f>
        <v>RUA MANOEL JOSÉ DOS SANTOS</v>
      </c>
      <c r="C80" s="237" t="s">
        <v>48</v>
      </c>
      <c r="D80" s="237"/>
      <c r="E80" s="37">
        <f>D8</f>
        <v>99.83</v>
      </c>
      <c r="F80" s="36">
        <f>D3</f>
        <v>526.9</v>
      </c>
      <c r="G80" s="36">
        <f>D4</f>
        <v>439.98</v>
      </c>
      <c r="H80" s="36">
        <f>D5</f>
        <v>172.7</v>
      </c>
      <c r="I80" s="36">
        <f>D6</f>
        <v>5.3</v>
      </c>
      <c r="J80" s="38">
        <f>D7</f>
        <v>27.16</v>
      </c>
    </row>
    <row r="81" spans="1:10" x14ac:dyDescent="0.25">
      <c r="A81" s="35">
        <v>2</v>
      </c>
      <c r="B81" s="36" t="str">
        <f>A9</f>
        <v>RUA JOSÉ DA SILVA MAIA</v>
      </c>
      <c r="C81" s="237" t="s">
        <v>48</v>
      </c>
      <c r="D81" s="237"/>
      <c r="E81" s="37">
        <f>D14</f>
        <v>72.930000000000007</v>
      </c>
      <c r="F81" s="36">
        <f>D9</f>
        <v>265.77999999999997</v>
      </c>
      <c r="G81" s="36">
        <f>D10</f>
        <v>206.57</v>
      </c>
      <c r="H81" s="36">
        <f>D11</f>
        <v>97.65</v>
      </c>
      <c r="I81" s="36">
        <f>D13</f>
        <v>3.6</v>
      </c>
      <c r="J81" s="38">
        <f>D12</f>
        <v>48.06</v>
      </c>
    </row>
    <row r="82" spans="1:10" x14ac:dyDescent="0.25">
      <c r="A82" s="35">
        <v>3</v>
      </c>
      <c r="B82" s="36" t="str">
        <f>A15</f>
        <v>RUA JOÃO GONÇALVES SIQUEIRA (RUA B)</v>
      </c>
      <c r="C82" s="237" t="s">
        <v>48</v>
      </c>
      <c r="D82" s="237"/>
      <c r="E82" s="37">
        <f>D18</f>
        <v>139.35999999999999</v>
      </c>
      <c r="F82" s="36">
        <f>D15</f>
        <v>652.38</v>
      </c>
      <c r="G82" s="36">
        <f>D16</f>
        <v>525.66</v>
      </c>
      <c r="H82" s="36">
        <f>D17</f>
        <v>281.60000000000002</v>
      </c>
      <c r="I82" s="36"/>
      <c r="J82" s="38"/>
    </row>
    <row r="83" spans="1:10" x14ac:dyDescent="0.25">
      <c r="A83" s="35">
        <v>4</v>
      </c>
      <c r="B83" s="36" t="str">
        <f>A22</f>
        <v>AV. DO CONTORNO</v>
      </c>
      <c r="C83" s="237" t="s">
        <v>48</v>
      </c>
      <c r="D83" s="237"/>
      <c r="E83" s="37">
        <f>D25</f>
        <v>243.66</v>
      </c>
      <c r="F83" s="36">
        <f>D22</f>
        <v>1443.15</v>
      </c>
      <c r="G83" s="36">
        <f>D23</f>
        <v>1224.6600000000001</v>
      </c>
      <c r="H83" s="36">
        <f>D24</f>
        <v>489.36</v>
      </c>
      <c r="I83" s="36"/>
      <c r="J83" s="38"/>
    </row>
    <row r="84" spans="1:10" x14ac:dyDescent="0.25">
      <c r="A84" s="35">
        <v>5</v>
      </c>
      <c r="B84" s="36" t="str">
        <f>A26</f>
        <v>RUA NOZINHO MAIA</v>
      </c>
      <c r="C84" s="237" t="s">
        <v>48</v>
      </c>
      <c r="D84" s="237"/>
      <c r="E84" s="37">
        <f>D29</f>
        <v>262.87</v>
      </c>
      <c r="F84" s="36">
        <f>D26</f>
        <v>1168.83</v>
      </c>
      <c r="G84" s="36">
        <f>D27</f>
        <v>931.14</v>
      </c>
      <c r="H84" s="36">
        <f>D28</f>
        <v>529.56000000000006</v>
      </c>
      <c r="I84" s="36"/>
      <c r="J84" s="38"/>
    </row>
    <row r="85" spans="1:10" x14ac:dyDescent="0.25">
      <c r="A85" s="35">
        <v>6</v>
      </c>
      <c r="B85" s="36" t="str">
        <f>A30</f>
        <v>RUA CICI LOPES</v>
      </c>
      <c r="C85" s="237" t="s">
        <v>48</v>
      </c>
      <c r="D85" s="237"/>
      <c r="E85" s="37">
        <f>D33</f>
        <v>98.7</v>
      </c>
      <c r="F85" s="36">
        <f>D30</f>
        <v>367.71</v>
      </c>
      <c r="G85" s="36">
        <f>D31</f>
        <v>278.27</v>
      </c>
      <c r="H85" s="36">
        <f>D32</f>
        <v>198.76</v>
      </c>
      <c r="I85" s="36"/>
      <c r="J85" s="38"/>
    </row>
    <row r="86" spans="1:10" x14ac:dyDescent="0.25">
      <c r="A86" s="35">
        <v>7</v>
      </c>
      <c r="B86" s="36" t="str">
        <f>A34</f>
        <v>RUA FRANCISCO DURÃES COUTINHO</v>
      </c>
      <c r="C86" s="237" t="s">
        <v>48</v>
      </c>
      <c r="D86" s="237"/>
      <c r="E86" s="37">
        <f>D38</f>
        <v>192.1</v>
      </c>
      <c r="F86" s="36">
        <f>D34</f>
        <v>1165.04</v>
      </c>
      <c r="G86" s="36">
        <f>D35</f>
        <v>1012.54</v>
      </c>
      <c r="H86" s="36">
        <f>D36</f>
        <v>342.88</v>
      </c>
      <c r="I86" s="36">
        <f>D37</f>
        <v>16.8</v>
      </c>
      <c r="J86" s="38"/>
    </row>
    <row r="87" spans="1:10" x14ac:dyDescent="0.25">
      <c r="A87" s="35">
        <v>8</v>
      </c>
      <c r="B87" s="39" t="str">
        <f>A42</f>
        <v>AVENIDA PRINCIPAL</v>
      </c>
      <c r="C87" s="234" t="s">
        <v>51</v>
      </c>
      <c r="D87" s="234"/>
      <c r="E87" s="40">
        <f>D46</f>
        <v>174.14</v>
      </c>
      <c r="F87" s="39">
        <f>D42</f>
        <v>983.28</v>
      </c>
      <c r="G87" s="39">
        <f>D43</f>
        <v>825.75</v>
      </c>
      <c r="H87" s="39">
        <f>D44</f>
        <v>341.61</v>
      </c>
      <c r="I87" s="39">
        <f>D45</f>
        <v>29.28</v>
      </c>
      <c r="J87" s="41"/>
    </row>
    <row r="88" spans="1:10" x14ac:dyDescent="0.25">
      <c r="A88" s="35">
        <v>9</v>
      </c>
      <c r="B88" s="36" t="str">
        <f>A50</f>
        <v>TRAVESSIA PRINCIPAL</v>
      </c>
      <c r="C88" s="237" t="s">
        <v>52</v>
      </c>
      <c r="D88" s="237"/>
      <c r="E88" s="37">
        <f>D54</f>
        <v>71.87</v>
      </c>
      <c r="F88" s="36">
        <f>D50</f>
        <v>499.11</v>
      </c>
      <c r="G88" s="36">
        <f>D51</f>
        <v>432.7</v>
      </c>
      <c r="H88" s="36">
        <f>D52</f>
        <v>143.74</v>
      </c>
      <c r="I88" s="36">
        <f>D53</f>
        <v>6.9</v>
      </c>
      <c r="J88" s="38"/>
    </row>
    <row r="89" spans="1:10" x14ac:dyDescent="0.25">
      <c r="A89" s="35">
        <v>10</v>
      </c>
      <c r="B89" s="36" t="str">
        <f>A55</f>
        <v>RUA LADISLAU PINHEIRO DE CARVALHO</v>
      </c>
      <c r="C89" s="237" t="s">
        <v>52</v>
      </c>
      <c r="D89" s="237"/>
      <c r="E89" s="37">
        <f>D59</f>
        <v>331.2</v>
      </c>
      <c r="F89" s="36">
        <f>D55</f>
        <v>1447.03</v>
      </c>
      <c r="G89" s="36">
        <f>D56</f>
        <v>1152.32</v>
      </c>
      <c r="H89" s="36">
        <f>D57</f>
        <v>653.5</v>
      </c>
      <c r="I89" s="36">
        <f>D58</f>
        <v>13.95</v>
      </c>
      <c r="J89" s="38"/>
    </row>
    <row r="90" spans="1:10" x14ac:dyDescent="0.25">
      <c r="A90" s="35">
        <v>11</v>
      </c>
      <c r="B90" s="39" t="str">
        <f>A63</f>
        <v>RUA F</v>
      </c>
      <c r="C90" s="234" t="s">
        <v>53</v>
      </c>
      <c r="D90" s="234"/>
      <c r="E90" s="40">
        <f>D66</f>
        <v>68.010000000000005</v>
      </c>
      <c r="F90" s="39">
        <f>D63</f>
        <v>403.87</v>
      </c>
      <c r="G90" s="39">
        <f>D64</f>
        <v>343.28</v>
      </c>
      <c r="H90" s="39">
        <f>D65</f>
        <v>134.38</v>
      </c>
      <c r="I90" s="39"/>
      <c r="J90" s="41"/>
    </row>
    <row r="91" spans="1:10" x14ac:dyDescent="0.25">
      <c r="A91" s="35">
        <v>12</v>
      </c>
      <c r="B91" s="39" t="str">
        <f>A67</f>
        <v>RUA ADELINO SOARES DUARTE</v>
      </c>
      <c r="C91" s="234" t="s">
        <v>53</v>
      </c>
      <c r="D91" s="234"/>
      <c r="E91" s="40">
        <f>D71</f>
        <v>235.3</v>
      </c>
      <c r="F91" s="39">
        <f>D67</f>
        <v>1232.81</v>
      </c>
      <c r="G91" s="39">
        <f>D68</f>
        <v>1025.52</v>
      </c>
      <c r="H91" s="39">
        <f>D69</f>
        <v>456.27</v>
      </c>
      <c r="I91" s="39">
        <f>D70</f>
        <v>11.190000000000001</v>
      </c>
      <c r="J91" s="41"/>
    </row>
    <row r="92" spans="1:10" x14ac:dyDescent="0.25">
      <c r="A92" s="35">
        <v>13</v>
      </c>
      <c r="B92" s="39" t="str">
        <f>A72</f>
        <v>RUA DE ACESSO A PRAÇA</v>
      </c>
      <c r="C92" s="234" t="s">
        <v>53</v>
      </c>
      <c r="D92" s="234"/>
      <c r="E92" s="40">
        <f>D76</f>
        <v>55.019999999999996</v>
      </c>
      <c r="F92" s="39">
        <f>D72</f>
        <v>595.07000000000005</v>
      </c>
      <c r="G92" s="39">
        <f>D73</f>
        <v>571.85</v>
      </c>
      <c r="H92" s="39">
        <f>D74</f>
        <v>50.339999999999996</v>
      </c>
      <c r="I92" s="39">
        <f>D75</f>
        <v>14.9</v>
      </c>
      <c r="J92" s="41"/>
    </row>
    <row r="93" spans="1:10" x14ac:dyDescent="0.25">
      <c r="A93" s="235" t="s">
        <v>55</v>
      </c>
      <c r="B93" s="236"/>
      <c r="C93" s="236"/>
      <c r="D93" s="236"/>
      <c r="E93" s="42">
        <f>SUM(E80:E92)</f>
        <v>2044.99</v>
      </c>
      <c r="F93" s="42">
        <f t="shared" ref="F93:J93" si="0">SUM(F80:F92)</f>
        <v>10750.96</v>
      </c>
      <c r="G93" s="42">
        <f t="shared" si="0"/>
        <v>8970.24</v>
      </c>
      <c r="H93" s="42">
        <f t="shared" si="0"/>
        <v>3892.35</v>
      </c>
      <c r="I93" s="42">
        <f t="shared" si="0"/>
        <v>101.92</v>
      </c>
      <c r="J93" s="43">
        <f t="shared" si="0"/>
        <v>75.22</v>
      </c>
    </row>
    <row r="97" spans="2:2" x14ac:dyDescent="0.25">
      <c r="B97" s="27"/>
    </row>
    <row r="98" spans="2:2" x14ac:dyDescent="0.25">
      <c r="B98" s="32" t="s">
        <v>47</v>
      </c>
    </row>
  </sheetData>
  <mergeCells count="39">
    <mergeCell ref="C90:D90"/>
    <mergeCell ref="C91:D91"/>
    <mergeCell ref="C92:D92"/>
    <mergeCell ref="A93:D93"/>
    <mergeCell ref="A78:J78"/>
    <mergeCell ref="C86:D86"/>
    <mergeCell ref="C87:D87"/>
    <mergeCell ref="C88:D88"/>
    <mergeCell ref="C89:D89"/>
    <mergeCell ref="C81:D81"/>
    <mergeCell ref="C82:D82"/>
    <mergeCell ref="C83:D83"/>
    <mergeCell ref="C84:D84"/>
    <mergeCell ref="C85:D85"/>
    <mergeCell ref="C79:D79"/>
    <mergeCell ref="C80:D80"/>
    <mergeCell ref="A63:A66"/>
    <mergeCell ref="A67:A71"/>
    <mergeCell ref="A72:A76"/>
    <mergeCell ref="F73:G75"/>
    <mergeCell ref="A48:D48"/>
    <mergeCell ref="A50:A54"/>
    <mergeCell ref="A55:A59"/>
    <mergeCell ref="F56:G58"/>
    <mergeCell ref="A61:D61"/>
    <mergeCell ref="F15:G17"/>
    <mergeCell ref="F35:G37"/>
    <mergeCell ref="A40:D40"/>
    <mergeCell ref="A42:A46"/>
    <mergeCell ref="F43:G45"/>
    <mergeCell ref="A22:A25"/>
    <mergeCell ref="A26:A29"/>
    <mergeCell ref="A30:A33"/>
    <mergeCell ref="A34:A38"/>
    <mergeCell ref="A1:D1"/>
    <mergeCell ref="A3:A8"/>
    <mergeCell ref="A9:A14"/>
    <mergeCell ref="A15:A18"/>
    <mergeCell ref="A20:D20"/>
  </mergeCells>
  <pageMargins left="0.7" right="0.7" top="0.75" bottom="0.75" header="0.3" footer="0.3"/>
  <pageSetup paperSize="9" scale="79" fitToHeight="0" orientation="landscape" r:id="rId1"/>
  <rowBreaks count="2" manualBreakCount="2">
    <brk id="38" max="9" man="1"/>
    <brk id="77" max="9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D1:P10"/>
  <sheetViews>
    <sheetView topLeftCell="C1" workbookViewId="0">
      <selection activeCell="F13" sqref="F13"/>
    </sheetView>
  </sheetViews>
  <sheetFormatPr defaultRowHeight="15" x14ac:dyDescent="0.25"/>
  <cols>
    <col min="5" max="5" width="30.7109375" bestFit="1" customWidth="1"/>
    <col min="6" max="6" width="15.85546875" bestFit="1" customWidth="1"/>
    <col min="8" max="8" width="14.28515625" bestFit="1" customWidth="1"/>
    <col min="9" max="9" width="9.5703125" bestFit="1" customWidth="1"/>
    <col min="10" max="10" width="14.28515625" bestFit="1" customWidth="1"/>
    <col min="11" max="11" width="8.140625" bestFit="1" customWidth="1"/>
    <col min="12" max="12" width="14.28515625" bestFit="1" customWidth="1"/>
    <col min="13" max="13" width="8.140625" bestFit="1" customWidth="1"/>
    <col min="14" max="14" width="14.28515625" bestFit="1" customWidth="1"/>
    <col min="15" max="15" width="8.140625" bestFit="1" customWidth="1"/>
  </cols>
  <sheetData>
    <row r="1" spans="4:16" ht="26.25" customHeight="1" x14ac:dyDescent="0.25">
      <c r="D1" s="240" t="s">
        <v>72</v>
      </c>
      <c r="E1" s="241"/>
      <c r="F1" s="241"/>
      <c r="G1" s="241"/>
      <c r="H1" s="241"/>
      <c r="I1" s="241"/>
      <c r="J1" s="241"/>
      <c r="K1" s="241"/>
      <c r="L1" s="241"/>
      <c r="M1" s="241"/>
      <c r="N1" s="241"/>
      <c r="O1" s="241"/>
      <c r="P1" s="241"/>
    </row>
    <row r="2" spans="4:16" x14ac:dyDescent="0.25">
      <c r="H2" s="239" t="s">
        <v>68</v>
      </c>
      <c r="I2" s="239"/>
      <c r="J2" s="239" t="s">
        <v>69</v>
      </c>
      <c r="K2" s="239"/>
      <c r="L2" s="239" t="s">
        <v>70</v>
      </c>
      <c r="M2" s="239"/>
      <c r="N2" s="239" t="s">
        <v>71</v>
      </c>
      <c r="O2" s="239"/>
    </row>
    <row r="3" spans="4:16" x14ac:dyDescent="0.25">
      <c r="D3">
        <v>1</v>
      </c>
      <c r="E3" t="s">
        <v>62</v>
      </c>
      <c r="F3" s="78">
        <v>2090.91</v>
      </c>
      <c r="G3" s="81">
        <f>F3/$F$10</f>
        <v>1.4639766733317229E-3</v>
      </c>
      <c r="H3" s="83">
        <f>I3*$F3</f>
        <v>2090.91</v>
      </c>
      <c r="I3" s="80">
        <v>1</v>
      </c>
      <c r="J3" s="83">
        <f>K3*$F3</f>
        <v>0</v>
      </c>
      <c r="K3" s="80"/>
      <c r="L3" s="83">
        <f>M3*$F3</f>
        <v>0</v>
      </c>
      <c r="M3" s="80"/>
      <c r="N3" s="83">
        <f>O3*$F3</f>
        <v>0</v>
      </c>
      <c r="O3" s="80"/>
    </row>
    <row r="4" spans="4:16" x14ac:dyDescent="0.25">
      <c r="D4">
        <v>2</v>
      </c>
      <c r="E4" t="s">
        <v>65</v>
      </c>
      <c r="F4" s="78">
        <v>41354.519999999997</v>
      </c>
      <c r="G4" s="81">
        <f t="shared" ref="G4:G9" si="0">F4/$F$10</f>
        <v>2.8954882140709168E-2</v>
      </c>
      <c r="H4" s="83">
        <f t="shared" ref="H4:J9" si="1">I4*$F4</f>
        <v>10338.629999999999</v>
      </c>
      <c r="I4" s="79">
        <v>0.25</v>
      </c>
      <c r="J4" s="83">
        <f t="shared" si="1"/>
        <v>10338.629999999999</v>
      </c>
      <c r="K4" s="79">
        <v>0.25</v>
      </c>
      <c r="L4" s="83">
        <f t="shared" ref="L4" si="2">M4*$F4</f>
        <v>10338.629999999999</v>
      </c>
      <c r="M4" s="79">
        <v>0.25</v>
      </c>
      <c r="N4" s="83">
        <f t="shared" ref="N4" si="3">O4*$F4</f>
        <v>10338.629999999999</v>
      </c>
      <c r="O4" s="79">
        <v>0.25</v>
      </c>
      <c r="P4" s="82">
        <f>O4+M4+K4+I4</f>
        <v>1</v>
      </c>
    </row>
    <row r="5" spans="4:16" x14ac:dyDescent="0.25">
      <c r="D5">
        <v>3</v>
      </c>
      <c r="E5" t="s">
        <v>66</v>
      </c>
      <c r="F5" s="78">
        <f>71071.19+485147.61+28076.07</f>
        <v>584294.87</v>
      </c>
      <c r="G5" s="81">
        <f t="shared" si="0"/>
        <v>0.40910132909947899</v>
      </c>
      <c r="H5" s="83">
        <f t="shared" si="1"/>
        <v>233717.948</v>
      </c>
      <c r="I5" s="79">
        <v>0.4</v>
      </c>
      <c r="J5" s="83">
        <f t="shared" si="1"/>
        <v>233717.948</v>
      </c>
      <c r="K5" s="79">
        <v>0.4</v>
      </c>
      <c r="L5" s="83">
        <f t="shared" ref="L5" si="4">M5*$F5</f>
        <v>116858.974</v>
      </c>
      <c r="M5" s="79">
        <v>0.2</v>
      </c>
      <c r="N5" s="83">
        <f t="shared" ref="N5" si="5">O5*$F5</f>
        <v>0</v>
      </c>
      <c r="O5" s="79"/>
      <c r="P5" s="82">
        <f t="shared" ref="P5:P9" si="6">O5+M5+K5+I5</f>
        <v>1</v>
      </c>
    </row>
    <row r="6" spans="4:16" x14ac:dyDescent="0.25">
      <c r="D6">
        <v>4</v>
      </c>
      <c r="E6" t="s">
        <v>67</v>
      </c>
      <c r="F6" s="78">
        <v>44242.95</v>
      </c>
      <c r="G6" s="81">
        <f t="shared" si="0"/>
        <v>3.0977252373072851E-2</v>
      </c>
      <c r="H6" s="83">
        <f t="shared" si="1"/>
        <v>4424.2950000000001</v>
      </c>
      <c r="I6" s="79">
        <v>0.1</v>
      </c>
      <c r="J6" s="83">
        <f t="shared" si="1"/>
        <v>13272.884999999998</v>
      </c>
      <c r="K6" s="79">
        <v>0.3</v>
      </c>
      <c r="L6" s="83">
        <f t="shared" ref="L6" si="7">M6*$F6</f>
        <v>13272.884999999998</v>
      </c>
      <c r="M6" s="79">
        <v>0.3</v>
      </c>
      <c r="N6" s="83">
        <f t="shared" ref="N6" si="8">O6*$F6</f>
        <v>13272.884999999998</v>
      </c>
      <c r="O6" s="79">
        <v>0.3</v>
      </c>
      <c r="P6" s="82">
        <f t="shared" si="6"/>
        <v>0.99999999999999989</v>
      </c>
    </row>
    <row r="7" spans="4:16" x14ac:dyDescent="0.25">
      <c r="D7">
        <v>5</v>
      </c>
      <c r="E7" t="s">
        <v>63</v>
      </c>
      <c r="F7" s="78">
        <v>23031.83</v>
      </c>
      <c r="G7" s="81">
        <f t="shared" si="0"/>
        <v>1.612602257588408E-2</v>
      </c>
      <c r="H7" s="83">
        <f t="shared" si="1"/>
        <v>2303.1830000000004</v>
      </c>
      <c r="I7" s="79">
        <v>0.1</v>
      </c>
      <c r="J7" s="83">
        <f t="shared" si="1"/>
        <v>6909.549</v>
      </c>
      <c r="K7" s="79">
        <v>0.3</v>
      </c>
      <c r="L7" s="83">
        <f t="shared" ref="L7" si="9">M7*$F7</f>
        <v>6909.549</v>
      </c>
      <c r="M7" s="79">
        <v>0.3</v>
      </c>
      <c r="N7" s="83">
        <f t="shared" ref="N7" si="10">O7*$F7</f>
        <v>6909.549</v>
      </c>
      <c r="O7" s="79">
        <v>0.3</v>
      </c>
      <c r="P7" s="82">
        <f t="shared" si="6"/>
        <v>0.99999999999999989</v>
      </c>
    </row>
    <row r="8" spans="4:16" x14ac:dyDescent="0.25">
      <c r="D8">
        <v>6</v>
      </c>
      <c r="E8" t="s">
        <v>74</v>
      </c>
      <c r="F8" s="78">
        <v>422952.64</v>
      </c>
      <c r="G8" s="81">
        <f t="shared" si="0"/>
        <v>0.29613555766822575</v>
      </c>
      <c r="H8" s="83">
        <f t="shared" si="1"/>
        <v>42295.264000000003</v>
      </c>
      <c r="I8" s="79">
        <v>0.1</v>
      </c>
      <c r="J8" s="83">
        <f t="shared" si="1"/>
        <v>126885.792</v>
      </c>
      <c r="K8" s="79">
        <v>0.3</v>
      </c>
      <c r="L8" s="83">
        <f t="shared" ref="L8" si="11">M8*$F8</f>
        <v>126885.792</v>
      </c>
      <c r="M8" s="79">
        <v>0.3</v>
      </c>
      <c r="N8" s="83">
        <f t="shared" ref="N8" si="12">O8*$F8</f>
        <v>126885.792</v>
      </c>
      <c r="O8" s="79">
        <v>0.3</v>
      </c>
      <c r="P8" s="82">
        <f t="shared" si="6"/>
        <v>0.99999999999999989</v>
      </c>
    </row>
    <row r="9" spans="4:16" x14ac:dyDescent="0.25">
      <c r="D9">
        <v>7</v>
      </c>
      <c r="E9" t="s">
        <v>73</v>
      </c>
      <c r="F9" s="78">
        <v>310272.25</v>
      </c>
      <c r="G9" s="81">
        <f t="shared" si="0"/>
        <v>0.21724097946929746</v>
      </c>
      <c r="H9" s="83">
        <f t="shared" si="1"/>
        <v>0</v>
      </c>
      <c r="I9" s="79"/>
      <c r="J9" s="83">
        <f t="shared" si="1"/>
        <v>0</v>
      </c>
      <c r="K9" s="79"/>
      <c r="L9" s="83">
        <f t="shared" ref="L9" si="13">M9*$F9</f>
        <v>62054.450000000004</v>
      </c>
      <c r="M9" s="79">
        <v>0.2</v>
      </c>
      <c r="N9" s="83">
        <f t="shared" ref="N9" si="14">O9*$F9</f>
        <v>248217.80000000002</v>
      </c>
      <c r="O9" s="79">
        <v>0.8</v>
      </c>
      <c r="P9" s="82">
        <f t="shared" si="6"/>
        <v>1</v>
      </c>
    </row>
    <row r="10" spans="4:16" x14ac:dyDescent="0.25">
      <c r="F10" s="78">
        <f>SUM(F3:F9)</f>
        <v>1428239.97</v>
      </c>
      <c r="H10" s="84">
        <f>SUM(H3:H9)</f>
        <v>295170.23000000004</v>
      </c>
      <c r="I10" s="81">
        <f>H10/$F$10</f>
        <v>0.2066671121100189</v>
      </c>
      <c r="J10" s="84">
        <f>SUM(J3:J9)</f>
        <v>391124.80400000006</v>
      </c>
      <c r="K10" s="81">
        <f>J10/$F$10</f>
        <v>0.27385090196012374</v>
      </c>
      <c r="L10" s="84">
        <f>SUM(L3:L9)</f>
        <v>336320.28</v>
      </c>
      <c r="M10" s="81">
        <f>L10/$F$10</f>
        <v>0.2354788320340874</v>
      </c>
      <c r="N10" s="84">
        <f>SUM(N3:N9)</f>
        <v>405624.65600000002</v>
      </c>
      <c r="O10" s="81">
        <f>N10/$F$10</f>
        <v>0.28400315389577008</v>
      </c>
    </row>
  </sheetData>
  <mergeCells count="5">
    <mergeCell ref="H2:I2"/>
    <mergeCell ref="J2:K2"/>
    <mergeCell ref="L2:M2"/>
    <mergeCell ref="N2:O2"/>
    <mergeCell ref="D1:P1"/>
  </mergeCells>
  <phoneticPr fontId="14" type="noConversion"/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21"/>
  <sheetViews>
    <sheetView zoomScale="160" zoomScaleNormal="160" workbookViewId="0">
      <selection activeCell="D21" sqref="A1:D21"/>
    </sheetView>
  </sheetViews>
  <sheetFormatPr defaultRowHeight="15" x14ac:dyDescent="0.25"/>
  <cols>
    <col min="1" max="1" width="13.28515625" customWidth="1"/>
    <col min="2" max="2" width="60" bestFit="1" customWidth="1"/>
    <col min="3" max="3" width="10.7109375" customWidth="1"/>
    <col min="4" max="4" width="10.85546875" customWidth="1"/>
  </cols>
  <sheetData>
    <row r="1" spans="1:4" ht="23.25" customHeight="1" x14ac:dyDescent="0.25">
      <c r="A1" s="223" t="s">
        <v>32</v>
      </c>
      <c r="B1" s="224"/>
      <c r="C1" s="224"/>
      <c r="D1" s="225"/>
    </row>
    <row r="2" spans="1:4" ht="23.25" customHeight="1" x14ac:dyDescent="0.25">
      <c r="A2" s="21" t="s">
        <v>18</v>
      </c>
      <c r="B2" s="22" t="s">
        <v>5</v>
      </c>
      <c r="C2" s="22" t="s">
        <v>19</v>
      </c>
      <c r="D2" s="23" t="s">
        <v>11</v>
      </c>
    </row>
    <row r="3" spans="1:4" x14ac:dyDescent="0.25">
      <c r="A3" s="226" t="s">
        <v>20</v>
      </c>
      <c r="B3" s="24" t="s">
        <v>21</v>
      </c>
      <c r="C3" s="25" t="s">
        <v>22</v>
      </c>
      <c r="D3" s="29">
        <v>1443.15</v>
      </c>
    </row>
    <row r="4" spans="1:4" x14ac:dyDescent="0.25">
      <c r="A4" s="227"/>
      <c r="B4" t="s">
        <v>23</v>
      </c>
      <c r="C4" s="26" t="s">
        <v>22</v>
      </c>
      <c r="D4" s="30">
        <v>1224.6600000000001</v>
      </c>
    </row>
    <row r="5" spans="1:4" x14ac:dyDescent="0.25">
      <c r="A5" s="227"/>
      <c r="B5" t="s">
        <v>24</v>
      </c>
      <c r="C5" s="26" t="s">
        <v>25</v>
      </c>
      <c r="D5" s="30">
        <f>240.66+248.7</f>
        <v>489.36</v>
      </c>
    </row>
    <row r="6" spans="1:4" x14ac:dyDescent="0.25">
      <c r="A6" s="228"/>
      <c r="B6" s="27" t="s">
        <v>26</v>
      </c>
      <c r="C6" s="28" t="s">
        <v>25</v>
      </c>
      <c r="D6" s="31">
        <f>12.52+68.32+10.58+100.49+17.36+13.52+20.87</f>
        <v>243.66</v>
      </c>
    </row>
    <row r="7" spans="1:4" x14ac:dyDescent="0.25">
      <c r="A7" s="226" t="s">
        <v>27</v>
      </c>
      <c r="B7" t="s">
        <v>21</v>
      </c>
      <c r="C7" s="26" t="s">
        <v>22</v>
      </c>
      <c r="D7" s="30">
        <v>1168.83</v>
      </c>
    </row>
    <row r="8" spans="1:4" x14ac:dyDescent="0.25">
      <c r="A8" s="227"/>
      <c r="B8" t="s">
        <v>23</v>
      </c>
      <c r="C8" s="26" t="s">
        <v>22</v>
      </c>
      <c r="D8" s="30">
        <v>931.14</v>
      </c>
    </row>
    <row r="9" spans="1:4" x14ac:dyDescent="0.25">
      <c r="A9" s="227"/>
      <c r="B9" t="s">
        <v>24</v>
      </c>
      <c r="C9" s="26" t="s">
        <v>25</v>
      </c>
      <c r="D9" s="30">
        <f>266.86+260.31+2.39</f>
        <v>529.56000000000006</v>
      </c>
    </row>
    <row r="10" spans="1:4" x14ac:dyDescent="0.25">
      <c r="A10" s="228"/>
      <c r="B10" s="27" t="s">
        <v>26</v>
      </c>
      <c r="C10" s="28" t="s">
        <v>25</v>
      </c>
      <c r="D10" s="31">
        <f>55.01+66.72+48.45+31.22+9.1+52.37</f>
        <v>262.87</v>
      </c>
    </row>
    <row r="11" spans="1:4" x14ac:dyDescent="0.25">
      <c r="A11" s="226" t="s">
        <v>28</v>
      </c>
      <c r="B11" s="24" t="s">
        <v>21</v>
      </c>
      <c r="C11" s="25" t="s">
        <v>22</v>
      </c>
      <c r="D11" s="29">
        <v>367.71</v>
      </c>
    </row>
    <row r="12" spans="1:4" x14ac:dyDescent="0.25">
      <c r="A12" s="227"/>
      <c r="B12" t="s">
        <v>23</v>
      </c>
      <c r="C12" s="26" t="s">
        <v>22</v>
      </c>
      <c r="D12" s="30">
        <v>278.27</v>
      </c>
    </row>
    <row r="13" spans="1:4" x14ac:dyDescent="0.25">
      <c r="A13" s="227"/>
      <c r="B13" t="s">
        <v>24</v>
      </c>
      <c r="C13" s="26" t="s">
        <v>25</v>
      </c>
      <c r="D13" s="30">
        <f>99.61+99.15</f>
        <v>198.76</v>
      </c>
    </row>
    <row r="14" spans="1:4" x14ac:dyDescent="0.25">
      <c r="A14" s="228"/>
      <c r="B14" s="27" t="s">
        <v>26</v>
      </c>
      <c r="C14" s="28" t="s">
        <v>25</v>
      </c>
      <c r="D14" s="31">
        <f>12.99+19.29+12.86+8.57+19.41+17.08+8.5</f>
        <v>98.7</v>
      </c>
    </row>
    <row r="15" spans="1:4" x14ac:dyDescent="0.25">
      <c r="A15" s="226" t="s">
        <v>29</v>
      </c>
      <c r="B15" t="s">
        <v>21</v>
      </c>
      <c r="C15" s="26" t="s">
        <v>22</v>
      </c>
      <c r="D15" s="30">
        <v>1165.04</v>
      </c>
    </row>
    <row r="16" spans="1:4" x14ac:dyDescent="0.25">
      <c r="A16" s="227"/>
      <c r="B16" t="s">
        <v>23</v>
      </c>
      <c r="C16" s="26" t="s">
        <v>22</v>
      </c>
      <c r="D16" s="30">
        <v>1012.54</v>
      </c>
    </row>
    <row r="17" spans="1:4" x14ac:dyDescent="0.25">
      <c r="A17" s="227"/>
      <c r="B17" t="s">
        <v>24</v>
      </c>
      <c r="C17" s="26" t="s">
        <v>25</v>
      </c>
      <c r="D17" s="30">
        <f>49.91+189.3+64.92+38.75</f>
        <v>342.88</v>
      </c>
    </row>
    <row r="18" spans="1:4" x14ac:dyDescent="0.25">
      <c r="A18" s="227"/>
      <c r="B18" t="s">
        <v>30</v>
      </c>
      <c r="C18" s="26" t="s">
        <v>25</v>
      </c>
      <c r="D18" s="30">
        <v>16.8</v>
      </c>
    </row>
    <row r="19" spans="1:4" x14ac:dyDescent="0.25">
      <c r="A19" s="228"/>
      <c r="B19" s="27" t="s">
        <v>26</v>
      </c>
      <c r="C19" s="28" t="s">
        <v>25</v>
      </c>
      <c r="D19" s="31">
        <f>37.76+12.98+15.68+14.18+66.18+45.32</f>
        <v>192.1</v>
      </c>
    </row>
    <row r="21" spans="1:4" x14ac:dyDescent="0.25">
      <c r="D21">
        <f>D16+D12+D8+D4</f>
        <v>3446.6099999999997</v>
      </c>
    </row>
  </sheetData>
  <mergeCells count="5">
    <mergeCell ref="A1:D1"/>
    <mergeCell ref="A3:A6"/>
    <mergeCell ref="A7:A10"/>
    <mergeCell ref="A11:A14"/>
    <mergeCell ref="A15:A19"/>
  </mergeCells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9"/>
  <sheetViews>
    <sheetView zoomScale="160" zoomScaleNormal="160" workbookViewId="0">
      <selection sqref="A1:D9"/>
    </sheetView>
  </sheetViews>
  <sheetFormatPr defaultRowHeight="15" x14ac:dyDescent="0.25"/>
  <cols>
    <col min="1" max="1" width="13.28515625" customWidth="1"/>
    <col min="2" max="2" width="60" bestFit="1" customWidth="1"/>
    <col min="3" max="3" width="10.7109375" customWidth="1"/>
    <col min="4" max="4" width="10.85546875" customWidth="1"/>
  </cols>
  <sheetData>
    <row r="1" spans="1:4" ht="23.25" customHeight="1" x14ac:dyDescent="0.25">
      <c r="A1" s="223" t="s">
        <v>37</v>
      </c>
      <c r="B1" s="224"/>
      <c r="C1" s="224"/>
      <c r="D1" s="225"/>
    </row>
    <row r="2" spans="1:4" ht="23.25" customHeight="1" x14ac:dyDescent="0.25">
      <c r="A2" s="21" t="s">
        <v>18</v>
      </c>
      <c r="B2" s="22" t="s">
        <v>5</v>
      </c>
      <c r="C2" s="22" t="s">
        <v>19</v>
      </c>
      <c r="D2" s="23" t="s">
        <v>11</v>
      </c>
    </row>
    <row r="3" spans="1:4" x14ac:dyDescent="0.25">
      <c r="A3" s="226" t="s">
        <v>38</v>
      </c>
      <c r="B3" s="24" t="s">
        <v>21</v>
      </c>
      <c r="C3" s="25" t="s">
        <v>22</v>
      </c>
      <c r="D3" s="29">
        <v>983.28</v>
      </c>
    </row>
    <row r="4" spans="1:4" x14ac:dyDescent="0.25">
      <c r="A4" s="227"/>
      <c r="B4" t="s">
        <v>23</v>
      </c>
      <c r="C4" s="26" t="s">
        <v>22</v>
      </c>
      <c r="D4" s="30">
        <v>825.75</v>
      </c>
    </row>
    <row r="5" spans="1:4" x14ac:dyDescent="0.25">
      <c r="A5" s="227"/>
      <c r="B5" t="s">
        <v>24</v>
      </c>
      <c r="C5" s="26" t="s">
        <v>25</v>
      </c>
      <c r="D5" s="30">
        <f>130.32+66.22+98.76+46.31</f>
        <v>341.61</v>
      </c>
    </row>
    <row r="6" spans="1:4" x14ac:dyDescent="0.25">
      <c r="A6" s="227"/>
      <c r="B6" t="s">
        <v>34</v>
      </c>
      <c r="C6" s="26" t="s">
        <v>25</v>
      </c>
      <c r="D6" s="30">
        <f>4.24+5.41+4.55+5.12+4.98+4.98</f>
        <v>29.28</v>
      </c>
    </row>
    <row r="7" spans="1:4" x14ac:dyDescent="0.25">
      <c r="A7" s="228"/>
      <c r="B7" s="27" t="s">
        <v>26</v>
      </c>
      <c r="C7" s="28" t="s">
        <v>25</v>
      </c>
      <c r="D7" s="31">
        <f>46.31+98.76+29.07</f>
        <v>174.14</v>
      </c>
    </row>
    <row r="9" spans="1:4" x14ac:dyDescent="0.25">
      <c r="D9">
        <f>D4</f>
        <v>825.75</v>
      </c>
    </row>
  </sheetData>
  <mergeCells count="2">
    <mergeCell ref="A1:D1"/>
    <mergeCell ref="A3:A7"/>
  </mergeCells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14"/>
  <sheetViews>
    <sheetView zoomScale="150" zoomScaleNormal="150" workbookViewId="0">
      <selection activeCell="D14" sqref="A1:D14"/>
    </sheetView>
  </sheetViews>
  <sheetFormatPr defaultRowHeight="15" x14ac:dyDescent="0.25"/>
  <cols>
    <col min="1" max="1" width="13.28515625" customWidth="1"/>
    <col min="2" max="2" width="60" bestFit="1" customWidth="1"/>
    <col min="3" max="3" width="10.7109375" customWidth="1"/>
    <col min="4" max="4" width="10.85546875" customWidth="1"/>
  </cols>
  <sheetData>
    <row r="1" spans="1:4" ht="23.25" customHeight="1" x14ac:dyDescent="0.25">
      <c r="A1" s="223" t="s">
        <v>41</v>
      </c>
      <c r="B1" s="224"/>
      <c r="C1" s="224"/>
      <c r="D1" s="225"/>
    </row>
    <row r="2" spans="1:4" ht="23.25" customHeight="1" x14ac:dyDescent="0.25">
      <c r="A2" s="21" t="s">
        <v>18</v>
      </c>
      <c r="B2" s="22" t="s">
        <v>5</v>
      </c>
      <c r="C2" s="22" t="s">
        <v>19</v>
      </c>
      <c r="D2" s="23" t="s">
        <v>11</v>
      </c>
    </row>
    <row r="3" spans="1:4" x14ac:dyDescent="0.25">
      <c r="A3" s="226" t="s">
        <v>40</v>
      </c>
      <c r="B3" s="24" t="s">
        <v>21</v>
      </c>
      <c r="C3" s="25" t="s">
        <v>22</v>
      </c>
      <c r="D3" s="29">
        <v>499.11</v>
      </c>
    </row>
    <row r="4" spans="1:4" x14ac:dyDescent="0.25">
      <c r="A4" s="227"/>
      <c r="B4" t="s">
        <v>23</v>
      </c>
      <c r="C4" s="26" t="s">
        <v>22</v>
      </c>
      <c r="D4" s="30">
        <v>432.7</v>
      </c>
    </row>
    <row r="5" spans="1:4" x14ac:dyDescent="0.25">
      <c r="A5" s="227"/>
      <c r="B5" t="s">
        <v>24</v>
      </c>
      <c r="C5" s="26" t="s">
        <v>25</v>
      </c>
      <c r="D5" s="30">
        <f>10.92+34.28+26.67+10.92+34.28+26.67</f>
        <v>143.74</v>
      </c>
    </row>
    <row r="6" spans="1:4" x14ac:dyDescent="0.25">
      <c r="A6" s="227"/>
      <c r="B6" t="s">
        <v>34</v>
      </c>
      <c r="C6" s="26" t="s">
        <v>25</v>
      </c>
      <c r="D6" s="30">
        <v>6.9</v>
      </c>
    </row>
    <row r="7" spans="1:4" x14ac:dyDescent="0.25">
      <c r="A7" s="228"/>
      <c r="B7" s="27" t="s">
        <v>26</v>
      </c>
      <c r="C7" s="28" t="s">
        <v>25</v>
      </c>
      <c r="D7" s="31">
        <f>10.92+34.28+26.67</f>
        <v>71.87</v>
      </c>
    </row>
    <row r="8" spans="1:4" x14ac:dyDescent="0.25">
      <c r="A8" s="226" t="s">
        <v>39</v>
      </c>
      <c r="B8" s="24" t="s">
        <v>21</v>
      </c>
      <c r="C8" s="25" t="s">
        <v>22</v>
      </c>
      <c r="D8" s="29">
        <v>1447.03</v>
      </c>
    </row>
    <row r="9" spans="1:4" x14ac:dyDescent="0.25">
      <c r="A9" s="227"/>
      <c r="B9" t="s">
        <v>23</v>
      </c>
      <c r="C9" s="26" t="s">
        <v>22</v>
      </c>
      <c r="D9" s="30">
        <v>1152.32</v>
      </c>
    </row>
    <row r="10" spans="1:4" x14ac:dyDescent="0.25">
      <c r="A10" s="227"/>
      <c r="B10" t="s">
        <v>24</v>
      </c>
      <c r="C10" s="26" t="s">
        <v>25</v>
      </c>
      <c r="D10" s="30">
        <f>76.34+126.48+76.25+133.04+121.91+119.48</f>
        <v>653.5</v>
      </c>
    </row>
    <row r="11" spans="1:4" x14ac:dyDescent="0.25">
      <c r="A11" s="227"/>
      <c r="B11" t="s">
        <v>34</v>
      </c>
      <c r="C11" s="26" t="s">
        <v>25</v>
      </c>
      <c r="D11" s="30">
        <f>9.65+4.3</f>
        <v>13.95</v>
      </c>
    </row>
    <row r="12" spans="1:4" x14ac:dyDescent="0.25">
      <c r="A12" s="228"/>
      <c r="B12" s="27" t="s">
        <v>26</v>
      </c>
      <c r="C12" s="28" t="s">
        <v>25</v>
      </c>
      <c r="D12" s="31">
        <f>76.25+133.04+121.91</f>
        <v>331.2</v>
      </c>
    </row>
    <row r="14" spans="1:4" x14ac:dyDescent="0.25">
      <c r="D14">
        <f>D9+D4</f>
        <v>1585.02</v>
      </c>
    </row>
  </sheetData>
  <mergeCells count="3">
    <mergeCell ref="A1:D1"/>
    <mergeCell ref="A8:A12"/>
    <mergeCell ref="A3:A7"/>
  </mergeCells>
  <pageMargins left="0.511811024" right="0.511811024" top="0.78740157499999996" bottom="0.78740157499999996" header="0.31496062000000002" footer="0.3149606200000000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6"/>
  <sheetViews>
    <sheetView zoomScaleNormal="100" workbookViewId="0">
      <selection sqref="A1:F16"/>
    </sheetView>
  </sheetViews>
  <sheetFormatPr defaultRowHeight="15" x14ac:dyDescent="0.25"/>
  <cols>
    <col min="1" max="1" width="13.28515625" customWidth="1"/>
    <col min="2" max="2" width="60" bestFit="1" customWidth="1"/>
    <col min="3" max="3" width="10.7109375" customWidth="1"/>
    <col min="4" max="4" width="10.85546875" customWidth="1"/>
  </cols>
  <sheetData>
    <row r="1" spans="1:6" ht="23.25" customHeight="1" x14ac:dyDescent="0.25">
      <c r="A1" s="223" t="s">
        <v>42</v>
      </c>
      <c r="B1" s="224"/>
      <c r="C1" s="224"/>
      <c r="D1" s="225"/>
    </row>
    <row r="2" spans="1:6" ht="23.25" customHeight="1" x14ac:dyDescent="0.25">
      <c r="A2" s="21" t="s">
        <v>18</v>
      </c>
      <c r="B2" s="22" t="s">
        <v>5</v>
      </c>
      <c r="C2" s="22" t="s">
        <v>19</v>
      </c>
      <c r="D2" s="23" t="s">
        <v>11</v>
      </c>
    </row>
    <row r="3" spans="1:6" x14ac:dyDescent="0.25">
      <c r="A3" s="226" t="s">
        <v>43</v>
      </c>
      <c r="B3" s="24" t="s">
        <v>21</v>
      </c>
      <c r="C3" s="25" t="s">
        <v>22</v>
      </c>
      <c r="D3" s="29">
        <v>403.87</v>
      </c>
    </row>
    <row r="4" spans="1:6" x14ac:dyDescent="0.25">
      <c r="A4" s="227"/>
      <c r="B4" t="s">
        <v>23</v>
      </c>
      <c r="C4" s="26" t="s">
        <v>22</v>
      </c>
      <c r="D4" s="30">
        <v>343.28</v>
      </c>
    </row>
    <row r="5" spans="1:6" x14ac:dyDescent="0.25">
      <c r="A5" s="227"/>
      <c r="B5" t="s">
        <v>24</v>
      </c>
      <c r="C5" s="26" t="s">
        <v>25</v>
      </c>
      <c r="D5" s="30">
        <f>66.37+68.01</f>
        <v>134.38</v>
      </c>
    </row>
    <row r="6" spans="1:6" x14ac:dyDescent="0.25">
      <c r="A6" s="228"/>
      <c r="B6" s="27" t="s">
        <v>26</v>
      </c>
      <c r="C6" s="28" t="s">
        <v>25</v>
      </c>
      <c r="D6" s="31">
        <v>68.010000000000005</v>
      </c>
    </row>
    <row r="7" spans="1:6" x14ac:dyDescent="0.25">
      <c r="A7" s="226" t="s">
        <v>44</v>
      </c>
      <c r="B7" s="24" t="s">
        <v>21</v>
      </c>
      <c r="C7" s="25" t="s">
        <v>22</v>
      </c>
      <c r="D7" s="29">
        <v>1232.81</v>
      </c>
    </row>
    <row r="8" spans="1:6" x14ac:dyDescent="0.25">
      <c r="A8" s="227"/>
      <c r="B8" t="s">
        <v>23</v>
      </c>
      <c r="C8" s="26" t="s">
        <v>22</v>
      </c>
      <c r="D8" s="30">
        <v>1025.52</v>
      </c>
    </row>
    <row r="9" spans="1:6" x14ac:dyDescent="0.25">
      <c r="A9" s="227"/>
      <c r="B9" t="s">
        <v>24</v>
      </c>
      <c r="C9" s="26" t="s">
        <v>25</v>
      </c>
      <c r="D9" s="30">
        <f>46.7+46.06+95.77+96.97+85.96+84.81</f>
        <v>456.27</v>
      </c>
    </row>
    <row r="10" spans="1:6" x14ac:dyDescent="0.25">
      <c r="A10" s="227"/>
      <c r="B10" t="s">
        <v>34</v>
      </c>
      <c r="C10" s="26" t="s">
        <v>25</v>
      </c>
      <c r="D10" s="30">
        <f>4.5+6.69</f>
        <v>11.190000000000001</v>
      </c>
    </row>
    <row r="11" spans="1:6" x14ac:dyDescent="0.25">
      <c r="A11" s="228"/>
      <c r="B11" s="27" t="s">
        <v>26</v>
      </c>
      <c r="C11" s="28" t="s">
        <v>25</v>
      </c>
      <c r="D11" s="31">
        <v>235.3</v>
      </c>
    </row>
    <row r="12" spans="1:6" x14ac:dyDescent="0.25">
      <c r="A12" s="226" t="s">
        <v>45</v>
      </c>
      <c r="B12" s="24" t="s">
        <v>21</v>
      </c>
      <c r="C12" s="25" t="s">
        <v>22</v>
      </c>
      <c r="D12" s="29">
        <v>595.07000000000005</v>
      </c>
    </row>
    <row r="13" spans="1:6" x14ac:dyDescent="0.25">
      <c r="A13" s="227"/>
      <c r="B13" t="s">
        <v>23</v>
      </c>
      <c r="C13" s="26" t="s">
        <v>22</v>
      </c>
      <c r="D13" s="30">
        <v>571.85</v>
      </c>
    </row>
    <row r="14" spans="1:6" x14ac:dyDescent="0.25">
      <c r="A14" s="227"/>
      <c r="B14" t="s">
        <v>24</v>
      </c>
      <c r="C14" s="26" t="s">
        <v>25</v>
      </c>
      <c r="D14" s="30">
        <f>10.47+9.4+24.04+6.43</f>
        <v>50.339999999999996</v>
      </c>
    </row>
    <row r="15" spans="1:6" x14ac:dyDescent="0.25">
      <c r="A15" s="227"/>
      <c r="B15" t="s">
        <v>34</v>
      </c>
      <c r="C15" s="26" t="s">
        <v>25</v>
      </c>
      <c r="D15" s="30">
        <f>5.26+7.49+2.15</f>
        <v>14.9</v>
      </c>
    </row>
    <row r="16" spans="1:6" x14ac:dyDescent="0.25">
      <c r="A16" s="228"/>
      <c r="B16" s="27" t="s">
        <v>26</v>
      </c>
      <c r="C16" s="28" t="s">
        <v>25</v>
      </c>
      <c r="D16" s="31">
        <f>10.47+9.4+24.04+11.11</f>
        <v>55.019999999999996</v>
      </c>
      <c r="F16">
        <f>D8+D4+D13</f>
        <v>1940.65</v>
      </c>
    </row>
  </sheetData>
  <mergeCells count="4">
    <mergeCell ref="A1:D1"/>
    <mergeCell ref="A3:A6"/>
    <mergeCell ref="A7:A11"/>
    <mergeCell ref="A12:A16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8</vt:i4>
      </vt:variant>
      <vt:variant>
        <vt:lpstr>Intervalos Nomeados</vt:lpstr>
      </vt:variant>
      <vt:variant>
        <vt:i4>3</vt:i4>
      </vt:variant>
    </vt:vector>
  </HeadingPairs>
  <TitlesOfParts>
    <vt:vector size="11" baseType="lpstr">
      <vt:lpstr>MC</vt:lpstr>
      <vt:lpstr>BDI</vt:lpstr>
      <vt:lpstr>PLAN QTD</vt:lpstr>
      <vt:lpstr>PLANO DE APLICAÇÃO</vt:lpstr>
      <vt:lpstr>PLAN QTD PR2</vt:lpstr>
      <vt:lpstr>PLAN QTD PR3</vt:lpstr>
      <vt:lpstr>PLAN QTD PR4</vt:lpstr>
      <vt:lpstr>PLAN QTD PR5</vt:lpstr>
      <vt:lpstr>BDI!Area_de_impressao</vt:lpstr>
      <vt:lpstr>MC!Area_de_impressao</vt:lpstr>
      <vt:lpstr>'PLAN QTD'!Area_de_impressao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 Martins</dc:creator>
  <cp:lastModifiedBy>Gabriel Martins</cp:lastModifiedBy>
  <cp:lastPrinted>2024-05-03T18:19:10Z</cp:lastPrinted>
  <dcterms:created xsi:type="dcterms:W3CDTF">2024-04-24T18:35:48Z</dcterms:created>
  <dcterms:modified xsi:type="dcterms:W3CDTF">2024-05-03T18:19:24Z</dcterms:modified>
</cp:coreProperties>
</file>